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58C738D5-6AFF-4BAC-BC76-3741D8F0F807}" xr6:coauthVersionLast="47" xr6:coauthVersionMax="47" xr10:uidLastSave="{00000000-0000-0000-0000-000000000000}"/>
  <bookViews>
    <workbookView xWindow="-28920" yWindow="-120" windowWidth="29040" windowHeight="15840" xr2:uid="{C167A4EC-099D-4FD5-9BA3-627A8C79F05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1183" i="1" l="1"/>
  <c r="AS1183" i="1"/>
  <c r="AR1183" i="1"/>
  <c r="AT1182" i="1"/>
  <c r="AS1182" i="1"/>
  <c r="AT1181" i="1"/>
  <c r="AS1181" i="1"/>
  <c r="AT1180" i="1"/>
  <c r="AS1180" i="1"/>
  <c r="AT1179" i="1"/>
  <c r="AS1179" i="1"/>
  <c r="AR1179" i="1"/>
  <c r="AT1178" i="1"/>
  <c r="AS1178" i="1"/>
  <c r="AR1178" i="1"/>
  <c r="AT1177" i="1"/>
  <c r="AS1177" i="1"/>
  <c r="AT1176" i="1"/>
  <c r="AS1176" i="1"/>
  <c r="AR1176" i="1"/>
  <c r="AT1175" i="1"/>
  <c r="AS1175" i="1"/>
  <c r="AR1175" i="1"/>
  <c r="AT1174" i="1"/>
  <c r="AS1174" i="1"/>
  <c r="AT1173" i="1"/>
  <c r="AS1173" i="1"/>
  <c r="AR1173" i="1"/>
  <c r="AT1172" i="1"/>
  <c r="AS1172" i="1"/>
  <c r="AR1172" i="1"/>
  <c r="AT1171" i="1"/>
  <c r="AS1171" i="1"/>
  <c r="AR1171" i="1"/>
  <c r="AT1170" i="1"/>
  <c r="AS1170" i="1"/>
  <c r="AT1169" i="1"/>
  <c r="AS1169" i="1"/>
  <c r="AT1168" i="1"/>
  <c r="AS1168" i="1"/>
  <c r="AT1167" i="1"/>
  <c r="AS1167" i="1"/>
  <c r="AT1166" i="1"/>
  <c r="AS1166" i="1"/>
  <c r="AR1166" i="1"/>
  <c r="AT1165" i="1"/>
  <c r="AS1165" i="1"/>
  <c r="AR1165" i="1"/>
  <c r="AT1164" i="1"/>
  <c r="AS1164" i="1"/>
  <c r="AR1164" i="1"/>
  <c r="AT1163" i="1"/>
  <c r="AS1163" i="1"/>
  <c r="AR1163" i="1"/>
  <c r="AT1162" i="1"/>
  <c r="AS1162" i="1"/>
  <c r="AT1161" i="1"/>
  <c r="AS1161" i="1"/>
  <c r="AR1161" i="1"/>
  <c r="AT1160" i="1"/>
  <c r="AS1160" i="1"/>
  <c r="AT1159" i="1"/>
  <c r="AS1159" i="1"/>
  <c r="AT1158" i="1"/>
  <c r="AS1158" i="1"/>
  <c r="AR1158" i="1"/>
  <c r="AT1157" i="1"/>
  <c r="AS1157" i="1"/>
  <c r="AT1156" i="1"/>
  <c r="AS1156" i="1"/>
  <c r="AT1155" i="1"/>
  <c r="AS1155" i="1"/>
  <c r="AR1155" i="1"/>
  <c r="AT1154" i="1"/>
  <c r="AS1154" i="1"/>
  <c r="AR1154" i="1"/>
  <c r="AT1153" i="1"/>
  <c r="AS1153" i="1"/>
  <c r="AT1152" i="1"/>
  <c r="AS1152" i="1"/>
  <c r="AT1151" i="1"/>
  <c r="AS1151" i="1"/>
  <c r="AR1151" i="1"/>
  <c r="AT1150" i="1"/>
  <c r="AS1150" i="1"/>
  <c r="AR1150" i="1"/>
  <c r="AT1149" i="1"/>
  <c r="AS1149" i="1"/>
  <c r="AR1149" i="1"/>
  <c r="AT1148" i="1"/>
  <c r="AS1148" i="1"/>
  <c r="AR1148" i="1"/>
  <c r="AT1147" i="1"/>
  <c r="AS1147" i="1"/>
  <c r="AR1147" i="1"/>
  <c r="AT1146" i="1"/>
  <c r="AS1146" i="1"/>
  <c r="AR1146" i="1"/>
  <c r="AT1145" i="1"/>
  <c r="AS1145" i="1"/>
  <c r="AT1144" i="1"/>
  <c r="AS1144" i="1"/>
  <c r="AR1144" i="1"/>
  <c r="AT1143" i="1"/>
  <c r="AS1143" i="1"/>
  <c r="AT1142" i="1"/>
  <c r="AS1142" i="1"/>
  <c r="AR1142" i="1"/>
  <c r="AT1141" i="1"/>
  <c r="AS1141" i="1"/>
  <c r="AR1141" i="1"/>
  <c r="AT1140" i="1"/>
  <c r="AS1140" i="1"/>
  <c r="AR1140" i="1"/>
  <c r="AT1139" i="1"/>
  <c r="AS1139" i="1"/>
  <c r="AR1139" i="1"/>
  <c r="AT1138" i="1"/>
  <c r="AS1138" i="1"/>
  <c r="AR1138" i="1"/>
  <c r="AT1137" i="1"/>
  <c r="AS1137" i="1"/>
  <c r="AR1137" i="1"/>
  <c r="AT1136" i="1"/>
  <c r="AS1136" i="1"/>
  <c r="AT1135" i="1"/>
  <c r="AS1135" i="1"/>
  <c r="AT1134" i="1"/>
  <c r="AS1134" i="1"/>
  <c r="AT1133" i="1"/>
  <c r="AS1133" i="1"/>
  <c r="AR1133" i="1"/>
  <c r="AT1132" i="1"/>
  <c r="AS1132" i="1"/>
  <c r="AR1132" i="1"/>
  <c r="AT1131" i="1"/>
  <c r="AS1131" i="1"/>
  <c r="AT1130" i="1"/>
  <c r="AS1130" i="1"/>
  <c r="AT1129" i="1"/>
  <c r="AS1129" i="1"/>
  <c r="AR1129" i="1"/>
  <c r="AT1128" i="1"/>
  <c r="AS1128" i="1"/>
  <c r="AT1127" i="1"/>
  <c r="AS1127" i="1"/>
  <c r="AR1127" i="1"/>
  <c r="AT1126" i="1"/>
  <c r="AS1126" i="1"/>
  <c r="AR1126" i="1"/>
  <c r="AT1125" i="1"/>
  <c r="AS1125" i="1"/>
  <c r="AR1125" i="1"/>
  <c r="AT1124" i="1"/>
  <c r="AS1124" i="1"/>
  <c r="AR1124" i="1"/>
  <c r="AT1123" i="1"/>
  <c r="AS1123" i="1"/>
  <c r="AR1123" i="1"/>
  <c r="AT1122" i="1"/>
  <c r="AS1122" i="1"/>
  <c r="AR1122" i="1"/>
  <c r="AT1121" i="1"/>
  <c r="AS1121" i="1"/>
  <c r="AR1121" i="1"/>
  <c r="AT1120" i="1"/>
  <c r="AS1120" i="1"/>
  <c r="AR1120" i="1"/>
  <c r="AT1119" i="1"/>
  <c r="AS1119" i="1"/>
  <c r="AR1119" i="1"/>
  <c r="AT1118" i="1"/>
  <c r="AS1118" i="1"/>
  <c r="AT1117" i="1"/>
  <c r="AS1117" i="1"/>
  <c r="AR1117" i="1"/>
  <c r="AT1116" i="1"/>
  <c r="AS1116" i="1"/>
  <c r="AR1116" i="1"/>
  <c r="AT1115" i="1"/>
  <c r="AS1115" i="1"/>
  <c r="AR1115" i="1"/>
  <c r="AT1114" i="1"/>
  <c r="AS1114" i="1"/>
  <c r="AT1113" i="1"/>
  <c r="AS1113" i="1"/>
  <c r="AR1113" i="1"/>
  <c r="AT1112" i="1"/>
  <c r="AS1112" i="1"/>
  <c r="AT1111" i="1"/>
  <c r="AS1111" i="1"/>
  <c r="AR1111" i="1"/>
  <c r="AT1110" i="1"/>
  <c r="AS1110" i="1"/>
  <c r="AT1109" i="1"/>
  <c r="AS1109" i="1"/>
  <c r="AR1109" i="1"/>
  <c r="AT1108" i="1"/>
  <c r="AS1108" i="1"/>
  <c r="AR1108" i="1"/>
  <c r="AT1107" i="1"/>
  <c r="AS1107" i="1"/>
  <c r="AR1107" i="1"/>
  <c r="AT1106" i="1"/>
  <c r="AS1106" i="1"/>
  <c r="AT1105" i="1"/>
  <c r="AS1105" i="1"/>
  <c r="AT1104" i="1"/>
  <c r="AS1104" i="1"/>
  <c r="AT1103" i="1"/>
  <c r="AS1103" i="1"/>
  <c r="AR1103" i="1"/>
  <c r="AT1102" i="1"/>
  <c r="AS1102" i="1"/>
  <c r="AR1102" i="1"/>
  <c r="AT1101" i="1"/>
  <c r="AS1101" i="1"/>
  <c r="AT1100" i="1"/>
  <c r="AS1100" i="1"/>
  <c r="AT1099" i="1"/>
  <c r="AS1099" i="1"/>
  <c r="AR1099" i="1"/>
  <c r="AT1098" i="1"/>
  <c r="AS1098" i="1"/>
  <c r="AR1098" i="1"/>
  <c r="AT1097" i="1"/>
  <c r="AS1097" i="1"/>
  <c r="AR1097" i="1"/>
  <c r="AT1096" i="1"/>
  <c r="AS1096" i="1"/>
  <c r="AR1096" i="1"/>
  <c r="AT1095" i="1"/>
  <c r="AS1095" i="1"/>
  <c r="AR1095" i="1"/>
  <c r="AT1094" i="1"/>
  <c r="AS1094" i="1"/>
  <c r="AT1093" i="1"/>
  <c r="AS1093" i="1"/>
  <c r="AT1092" i="1"/>
  <c r="AS1092" i="1"/>
  <c r="AR1092" i="1"/>
  <c r="AT1091" i="1"/>
  <c r="AS1091" i="1"/>
  <c r="AR1091" i="1"/>
  <c r="AT1090" i="1"/>
  <c r="AS1090" i="1"/>
  <c r="AR1090" i="1"/>
  <c r="AT1089" i="1"/>
  <c r="AS1089" i="1"/>
  <c r="AR1089" i="1"/>
  <c r="AT1088" i="1"/>
  <c r="AS1088" i="1"/>
  <c r="AR1088" i="1"/>
  <c r="AT1087" i="1"/>
  <c r="AS1087" i="1"/>
  <c r="AR1087" i="1"/>
  <c r="AT1086" i="1"/>
  <c r="AS1086" i="1"/>
  <c r="AT1085" i="1"/>
  <c r="AS1085" i="1"/>
  <c r="AR1085" i="1"/>
  <c r="AT1084" i="1"/>
  <c r="AS1084" i="1"/>
  <c r="AT1083" i="1"/>
  <c r="AS1083" i="1"/>
  <c r="AT1082" i="1"/>
  <c r="AS1082" i="1"/>
  <c r="AT1081" i="1"/>
  <c r="AS1081" i="1"/>
  <c r="AR1081" i="1"/>
  <c r="AT1080" i="1"/>
  <c r="AS1080" i="1"/>
  <c r="AT1079" i="1"/>
  <c r="AS1079" i="1"/>
  <c r="AR1079" i="1"/>
  <c r="AT1078" i="1"/>
  <c r="AS1078" i="1"/>
  <c r="AR1078" i="1"/>
  <c r="AT1077" i="1"/>
  <c r="AS1077" i="1"/>
  <c r="AT1076" i="1"/>
  <c r="AS1076" i="1"/>
  <c r="AR1076" i="1"/>
  <c r="AT1075" i="1"/>
  <c r="AS1075" i="1"/>
  <c r="AR1075" i="1"/>
  <c r="AT1074" i="1"/>
  <c r="AS1074" i="1"/>
  <c r="AT1073" i="1"/>
  <c r="AS1073" i="1"/>
  <c r="AR1073" i="1"/>
  <c r="AT1072" i="1"/>
  <c r="AS1072" i="1"/>
  <c r="AR1072" i="1"/>
  <c r="AT1071" i="1"/>
  <c r="AS1071" i="1"/>
  <c r="AR1071" i="1"/>
  <c r="AT1070" i="1"/>
  <c r="AS1070" i="1"/>
  <c r="AT1069" i="1"/>
  <c r="AS1069" i="1"/>
  <c r="AT1068" i="1"/>
  <c r="AS1068" i="1"/>
  <c r="AT1067" i="1"/>
  <c r="AS1067" i="1"/>
  <c r="AR1067" i="1"/>
  <c r="AT1066" i="1"/>
  <c r="AS1066" i="1"/>
  <c r="AR1066" i="1"/>
  <c r="AT1065" i="1"/>
  <c r="AS1065" i="1"/>
  <c r="AT1064" i="1"/>
  <c r="AS1064" i="1"/>
  <c r="AR1064" i="1"/>
  <c r="AT1063" i="1"/>
  <c r="AS1063" i="1"/>
  <c r="AT1062" i="1"/>
  <c r="AS1062" i="1"/>
  <c r="AR1062" i="1"/>
  <c r="AT1061" i="1"/>
  <c r="AS1061" i="1"/>
  <c r="AR1061" i="1"/>
  <c r="AT1060" i="1"/>
  <c r="AS1060" i="1"/>
  <c r="AR1060" i="1"/>
  <c r="AT1059" i="1"/>
  <c r="AS1059" i="1"/>
  <c r="AR1059" i="1"/>
  <c r="AT1058" i="1"/>
  <c r="AS1058" i="1"/>
  <c r="AR1058" i="1"/>
  <c r="AT1057" i="1"/>
  <c r="AS1057" i="1"/>
  <c r="AR1057" i="1"/>
  <c r="AT1056" i="1"/>
  <c r="AS1056" i="1"/>
  <c r="AT1055" i="1"/>
  <c r="AS1055" i="1"/>
  <c r="AR1055" i="1"/>
  <c r="AT1054" i="1"/>
  <c r="AS1054" i="1"/>
  <c r="AR1054" i="1"/>
  <c r="AT1053" i="1"/>
  <c r="AS1053" i="1"/>
  <c r="AR1053" i="1"/>
  <c r="AT1052" i="1"/>
  <c r="AS1052" i="1"/>
  <c r="AT1051" i="1"/>
  <c r="AS1051" i="1"/>
  <c r="AT1050" i="1"/>
  <c r="AS1050" i="1"/>
  <c r="AR1050" i="1"/>
  <c r="AT1049" i="1"/>
  <c r="AS1049" i="1"/>
  <c r="AR1049" i="1"/>
  <c r="AT1048" i="1"/>
  <c r="AS1048" i="1"/>
  <c r="AR1048" i="1"/>
  <c r="AT1047" i="1"/>
  <c r="AS1047" i="1"/>
  <c r="AT1046" i="1"/>
  <c r="AS1046" i="1"/>
  <c r="AR1046" i="1"/>
  <c r="AT1045" i="1"/>
  <c r="AS1045" i="1"/>
  <c r="AT1044" i="1"/>
  <c r="AS1044" i="1"/>
  <c r="AR1044" i="1"/>
  <c r="AT1043" i="1"/>
  <c r="AS1043" i="1"/>
  <c r="AR1043" i="1"/>
  <c r="AT1042" i="1"/>
  <c r="AS1042" i="1"/>
  <c r="AR1042" i="1"/>
  <c r="AT1041" i="1"/>
  <c r="AS1041" i="1"/>
  <c r="AR1041" i="1"/>
  <c r="AT1040" i="1"/>
  <c r="AS1040" i="1"/>
  <c r="AR1040" i="1"/>
  <c r="AT1039" i="1"/>
  <c r="AS1039" i="1"/>
  <c r="AR1039" i="1"/>
  <c r="AT1038" i="1"/>
  <c r="AS1038" i="1"/>
  <c r="AR1038" i="1"/>
  <c r="AT1037" i="1"/>
  <c r="AS1037" i="1"/>
  <c r="AR1037" i="1"/>
  <c r="AT1036" i="1"/>
  <c r="AS1036" i="1"/>
  <c r="AT1035" i="1"/>
  <c r="AS1035" i="1"/>
  <c r="AT1034" i="1"/>
  <c r="AS1034" i="1"/>
  <c r="AT1033" i="1"/>
  <c r="AS1033" i="1"/>
  <c r="AT1032" i="1"/>
  <c r="AS1032" i="1"/>
  <c r="AT1031" i="1"/>
  <c r="AS1031" i="1"/>
  <c r="AT1030" i="1"/>
  <c r="AS1030" i="1"/>
  <c r="AR1030" i="1"/>
  <c r="AT1029" i="1"/>
  <c r="AS1029" i="1"/>
  <c r="AT1028" i="1"/>
  <c r="AS1028" i="1"/>
  <c r="AR1028" i="1"/>
  <c r="AT1027" i="1"/>
  <c r="AS1027" i="1"/>
  <c r="AR1027" i="1"/>
  <c r="AT1026" i="1"/>
  <c r="AS1026" i="1"/>
  <c r="AT1025" i="1"/>
  <c r="AS1025" i="1"/>
  <c r="AR1025" i="1"/>
  <c r="AT1024" i="1"/>
  <c r="AS1024" i="1"/>
  <c r="AT1023" i="1"/>
  <c r="AS1023" i="1"/>
  <c r="AR1023" i="1"/>
  <c r="AT1022" i="1"/>
  <c r="AS1022" i="1"/>
  <c r="AT1021" i="1"/>
  <c r="AS1021" i="1"/>
  <c r="AR1021" i="1"/>
  <c r="AT1020" i="1"/>
  <c r="AS1020" i="1"/>
  <c r="AT1019" i="1"/>
  <c r="AS1019" i="1"/>
  <c r="AR1019" i="1"/>
  <c r="AT1018" i="1"/>
  <c r="AS1018" i="1"/>
  <c r="AR1018" i="1"/>
  <c r="AT1017" i="1"/>
  <c r="AS1017" i="1"/>
  <c r="AR1017" i="1"/>
  <c r="AT1016" i="1"/>
  <c r="AS1016" i="1"/>
  <c r="AR1016" i="1"/>
  <c r="AT1015" i="1"/>
  <c r="AS1015" i="1"/>
  <c r="AT1014" i="1"/>
  <c r="AS1014" i="1"/>
  <c r="AR1014" i="1"/>
  <c r="AT1013" i="1"/>
  <c r="AS1013" i="1"/>
  <c r="AR1013" i="1"/>
  <c r="AT1012" i="1"/>
  <c r="AS1012" i="1"/>
  <c r="AR1012" i="1"/>
  <c r="AT1011" i="1"/>
  <c r="AS1011" i="1"/>
  <c r="AR1011" i="1"/>
  <c r="AT1010" i="1"/>
  <c r="AS1010" i="1"/>
  <c r="AT1009" i="1"/>
  <c r="AS1009" i="1"/>
  <c r="AR1009" i="1"/>
  <c r="AT1008" i="1"/>
  <c r="AS1008" i="1"/>
  <c r="AR1008" i="1"/>
  <c r="AT1007" i="1"/>
  <c r="AS1007" i="1"/>
  <c r="AT1006" i="1"/>
  <c r="AS1006" i="1"/>
  <c r="AT1005" i="1"/>
  <c r="AS1005" i="1"/>
  <c r="AT1004" i="1"/>
  <c r="AS1004" i="1"/>
  <c r="AR1004" i="1"/>
  <c r="AT1003" i="1"/>
  <c r="AS1003" i="1"/>
  <c r="AR1003" i="1"/>
  <c r="AT1002" i="1"/>
  <c r="AS1002" i="1"/>
  <c r="AT1001" i="1"/>
  <c r="AS1001" i="1"/>
  <c r="AR1001" i="1"/>
  <c r="AT1000" i="1"/>
  <c r="AS1000" i="1"/>
  <c r="AR1000" i="1"/>
  <c r="AT999" i="1"/>
  <c r="AS999" i="1"/>
  <c r="AT998" i="1"/>
  <c r="AS998" i="1"/>
  <c r="AT997" i="1"/>
  <c r="AS997" i="1"/>
  <c r="AR997" i="1"/>
  <c r="AT996" i="1"/>
  <c r="AS996" i="1"/>
  <c r="AT995" i="1"/>
  <c r="AS995" i="1"/>
  <c r="AR995" i="1"/>
  <c r="AT994" i="1"/>
  <c r="AS994" i="1"/>
  <c r="AR994" i="1"/>
  <c r="AT993" i="1"/>
  <c r="AS993" i="1"/>
  <c r="AR993" i="1"/>
  <c r="AT992" i="1"/>
  <c r="AS992" i="1"/>
  <c r="AR992" i="1"/>
  <c r="AT991" i="1"/>
  <c r="AS991" i="1"/>
  <c r="AR991" i="1"/>
  <c r="AT990" i="1"/>
  <c r="AS990" i="1"/>
  <c r="AR990" i="1"/>
  <c r="AT989" i="1"/>
  <c r="AS989" i="1"/>
  <c r="AT988" i="1"/>
  <c r="AS988" i="1"/>
  <c r="AR988" i="1"/>
  <c r="AT987" i="1"/>
  <c r="AS987" i="1"/>
  <c r="AT986" i="1"/>
  <c r="AS986" i="1"/>
  <c r="AT985" i="1"/>
  <c r="AS985" i="1"/>
  <c r="AR985" i="1"/>
  <c r="AT984" i="1"/>
  <c r="AS984" i="1"/>
  <c r="AT983" i="1"/>
  <c r="AS983" i="1"/>
  <c r="AR983" i="1"/>
  <c r="AT982" i="1"/>
  <c r="AS982" i="1"/>
  <c r="AT981" i="1"/>
  <c r="AS981" i="1"/>
  <c r="AR981" i="1"/>
  <c r="AT980" i="1"/>
  <c r="AS980" i="1"/>
  <c r="AR980" i="1"/>
  <c r="AT979" i="1"/>
  <c r="AS979" i="1"/>
  <c r="AR979" i="1"/>
  <c r="AT978" i="1"/>
  <c r="AS978" i="1"/>
  <c r="AR978" i="1"/>
  <c r="AT977" i="1"/>
  <c r="AS977" i="1"/>
  <c r="AT976" i="1"/>
  <c r="AS976" i="1"/>
  <c r="AR976" i="1"/>
  <c r="AT975" i="1"/>
  <c r="AS975" i="1"/>
  <c r="AR975" i="1"/>
  <c r="AT974" i="1"/>
  <c r="AS974" i="1"/>
  <c r="AR974" i="1"/>
  <c r="AT973" i="1"/>
  <c r="AS973" i="1"/>
  <c r="AR973" i="1"/>
  <c r="AT972" i="1"/>
  <c r="AS972" i="1"/>
  <c r="AT971" i="1"/>
  <c r="AS971" i="1"/>
  <c r="AR971" i="1"/>
  <c r="AT970" i="1"/>
  <c r="AS970" i="1"/>
  <c r="AR970" i="1"/>
  <c r="AT969" i="1"/>
  <c r="AS969" i="1"/>
  <c r="AR969" i="1"/>
  <c r="AT968" i="1"/>
  <c r="AS968" i="1"/>
  <c r="AR968" i="1"/>
  <c r="AT967" i="1"/>
  <c r="AS967" i="1"/>
  <c r="AT966" i="1"/>
  <c r="AS966" i="1"/>
  <c r="AT965" i="1"/>
  <c r="AS965" i="1"/>
  <c r="AR965" i="1"/>
  <c r="AT964" i="1"/>
  <c r="AS964" i="1"/>
  <c r="AT963" i="1"/>
  <c r="AS963" i="1"/>
  <c r="AR963" i="1"/>
  <c r="AT962" i="1"/>
  <c r="AS962" i="1"/>
  <c r="AR962" i="1"/>
  <c r="AT961" i="1"/>
  <c r="AS961" i="1"/>
  <c r="AT960" i="1"/>
  <c r="AS960" i="1"/>
  <c r="AR960" i="1"/>
  <c r="AT959" i="1"/>
  <c r="AS959" i="1"/>
  <c r="AR959" i="1"/>
  <c r="AT958" i="1"/>
  <c r="AS958" i="1"/>
  <c r="AR958" i="1"/>
  <c r="AT957" i="1"/>
  <c r="AS957" i="1"/>
  <c r="AR957" i="1"/>
  <c r="AT956" i="1"/>
  <c r="AS956" i="1"/>
  <c r="AR956" i="1"/>
  <c r="AT955" i="1"/>
  <c r="AS955" i="1"/>
  <c r="AT954" i="1"/>
  <c r="AS954" i="1"/>
  <c r="AR954" i="1"/>
  <c r="AT953" i="1"/>
  <c r="AS953" i="1"/>
  <c r="AR953" i="1"/>
  <c r="AT952" i="1"/>
  <c r="AS952" i="1"/>
  <c r="AR952" i="1"/>
  <c r="AT951" i="1"/>
  <c r="AS951" i="1"/>
  <c r="AR951" i="1"/>
  <c r="AT950" i="1"/>
  <c r="AS950" i="1"/>
  <c r="AR950" i="1"/>
  <c r="AT949" i="1"/>
  <c r="AS949" i="1"/>
  <c r="AR949" i="1"/>
  <c r="AT948" i="1"/>
  <c r="AS948" i="1"/>
  <c r="AR948" i="1"/>
  <c r="AT947" i="1"/>
  <c r="AS947" i="1"/>
  <c r="AR947" i="1"/>
  <c r="AT946" i="1"/>
  <c r="AS946" i="1"/>
  <c r="AR946" i="1"/>
  <c r="AT945" i="1"/>
  <c r="AS945" i="1"/>
  <c r="AR945" i="1"/>
  <c r="AT944" i="1"/>
  <c r="AS944" i="1"/>
  <c r="AR944" i="1"/>
  <c r="AT943" i="1"/>
  <c r="AS943" i="1"/>
  <c r="AT942" i="1"/>
  <c r="AS942" i="1"/>
  <c r="AR942" i="1"/>
  <c r="AT941" i="1"/>
  <c r="AS941" i="1"/>
  <c r="AR941" i="1"/>
  <c r="AT940" i="1"/>
  <c r="AS940" i="1"/>
  <c r="AR940" i="1"/>
  <c r="AT939" i="1"/>
  <c r="AS939" i="1"/>
  <c r="AR939" i="1"/>
  <c r="AT938" i="1"/>
  <c r="AS938" i="1"/>
  <c r="AR938" i="1"/>
  <c r="AT937" i="1"/>
  <c r="AS937" i="1"/>
  <c r="AR937" i="1"/>
  <c r="AT936" i="1"/>
  <c r="AS936" i="1"/>
  <c r="AT935" i="1"/>
  <c r="AS935" i="1"/>
  <c r="AR935" i="1"/>
  <c r="AT934" i="1"/>
  <c r="AS934" i="1"/>
  <c r="AR934" i="1"/>
  <c r="AT933" i="1"/>
  <c r="AS933" i="1"/>
  <c r="AT932" i="1"/>
  <c r="AS932" i="1"/>
  <c r="AR932" i="1"/>
  <c r="AT931" i="1"/>
  <c r="AS931" i="1"/>
  <c r="AR931" i="1"/>
  <c r="AT930" i="1"/>
  <c r="AS930" i="1"/>
  <c r="AR930" i="1"/>
  <c r="AT929" i="1"/>
  <c r="AS929" i="1"/>
  <c r="AR929" i="1"/>
  <c r="AT928" i="1"/>
  <c r="AS928" i="1"/>
  <c r="AT927" i="1"/>
  <c r="AS927" i="1"/>
  <c r="AR927" i="1"/>
  <c r="AT926" i="1"/>
  <c r="AS926" i="1"/>
  <c r="AR926" i="1"/>
  <c r="AT925" i="1"/>
  <c r="AS925" i="1"/>
  <c r="AT924" i="1"/>
  <c r="AS924" i="1"/>
  <c r="AT923" i="1"/>
  <c r="AS923" i="1"/>
  <c r="AT922" i="1"/>
  <c r="AS922" i="1"/>
  <c r="AT921" i="1"/>
  <c r="AS921" i="1"/>
  <c r="AR921" i="1"/>
  <c r="AT920" i="1"/>
  <c r="AS920" i="1"/>
  <c r="AR920" i="1"/>
  <c r="AT919" i="1"/>
  <c r="AS919" i="1"/>
  <c r="AR919" i="1"/>
  <c r="AT918" i="1"/>
  <c r="AS918" i="1"/>
  <c r="AR918" i="1"/>
  <c r="AT917" i="1"/>
  <c r="AS917" i="1"/>
  <c r="AT916" i="1"/>
  <c r="AS916" i="1"/>
  <c r="AR916" i="1"/>
  <c r="AT915" i="1"/>
  <c r="AS915" i="1"/>
  <c r="AR915" i="1"/>
  <c r="AT914" i="1"/>
  <c r="AS914" i="1"/>
  <c r="AR914" i="1"/>
  <c r="AT913" i="1"/>
  <c r="AS913" i="1"/>
  <c r="AR913" i="1"/>
  <c r="AT912" i="1"/>
  <c r="AS912" i="1"/>
  <c r="AT911" i="1"/>
  <c r="AS911" i="1"/>
  <c r="AR911" i="1"/>
  <c r="AT910" i="1"/>
  <c r="AS910" i="1"/>
  <c r="AR910" i="1"/>
  <c r="AT909" i="1"/>
  <c r="AS909" i="1"/>
  <c r="AR909" i="1"/>
  <c r="AT908" i="1"/>
  <c r="AS908" i="1"/>
  <c r="AR908" i="1"/>
  <c r="AT907" i="1"/>
  <c r="AS907" i="1"/>
  <c r="AR907" i="1"/>
  <c r="AT906" i="1"/>
  <c r="AS906" i="1"/>
  <c r="AR906" i="1"/>
  <c r="AT905" i="1"/>
  <c r="AS905" i="1"/>
  <c r="AR905" i="1"/>
  <c r="AT904" i="1"/>
  <c r="AS904" i="1"/>
  <c r="AR904" i="1"/>
  <c r="AT903" i="1"/>
  <c r="AS903" i="1"/>
  <c r="AR903" i="1"/>
  <c r="AT902" i="1"/>
  <c r="AS902" i="1"/>
  <c r="AR902" i="1"/>
  <c r="AT901" i="1"/>
  <c r="AS901" i="1"/>
  <c r="AR901" i="1"/>
  <c r="AT900" i="1"/>
  <c r="AS900" i="1"/>
  <c r="AR900" i="1"/>
  <c r="AT899" i="1"/>
  <c r="AS899" i="1"/>
  <c r="AR899" i="1"/>
  <c r="AT898" i="1"/>
  <c r="AS898" i="1"/>
  <c r="AT897" i="1"/>
  <c r="AS897" i="1"/>
  <c r="AT896" i="1"/>
  <c r="AS896" i="1"/>
  <c r="AT895" i="1"/>
  <c r="AS895" i="1"/>
  <c r="AT894" i="1"/>
  <c r="AS894" i="1"/>
  <c r="AT893" i="1"/>
  <c r="AS893" i="1"/>
  <c r="AR893" i="1"/>
  <c r="AT892" i="1"/>
  <c r="AS892" i="1"/>
  <c r="AT891" i="1"/>
  <c r="AS891" i="1"/>
  <c r="AR891" i="1"/>
  <c r="AT890" i="1"/>
  <c r="AS890" i="1"/>
  <c r="AR890" i="1"/>
  <c r="AT889" i="1"/>
  <c r="AS889" i="1"/>
  <c r="AT888" i="1"/>
  <c r="AS888" i="1"/>
  <c r="AT887" i="1"/>
  <c r="AS887" i="1"/>
  <c r="AT886" i="1"/>
  <c r="AS886" i="1"/>
  <c r="AR886" i="1"/>
  <c r="AT885" i="1"/>
  <c r="AS885" i="1"/>
  <c r="AR885" i="1"/>
  <c r="AT884" i="1"/>
  <c r="AS884" i="1"/>
  <c r="AT883" i="1"/>
  <c r="AS883" i="1"/>
  <c r="AR883" i="1"/>
  <c r="AT882" i="1"/>
  <c r="AS882" i="1"/>
  <c r="AT881" i="1"/>
  <c r="AS881" i="1"/>
  <c r="AR881" i="1"/>
  <c r="AT880" i="1"/>
  <c r="AS880" i="1"/>
  <c r="AR880" i="1"/>
  <c r="AT879" i="1"/>
  <c r="AS879" i="1"/>
  <c r="AT878" i="1"/>
  <c r="AS878" i="1"/>
  <c r="AT877" i="1"/>
  <c r="AS877" i="1"/>
  <c r="AR877" i="1"/>
  <c r="AT876" i="1"/>
  <c r="AS876" i="1"/>
  <c r="AT875" i="1"/>
  <c r="AS875" i="1"/>
  <c r="AR875" i="1"/>
  <c r="AT874" i="1"/>
  <c r="AS874" i="1"/>
  <c r="AR874" i="1"/>
  <c r="AT873" i="1"/>
  <c r="AS873" i="1"/>
  <c r="AR873" i="1"/>
  <c r="AT872" i="1"/>
  <c r="AS872" i="1"/>
  <c r="AR872" i="1"/>
  <c r="AT871" i="1"/>
  <c r="AS871" i="1"/>
  <c r="AR871" i="1"/>
  <c r="AT870" i="1"/>
  <c r="AS870" i="1"/>
  <c r="AR870" i="1"/>
  <c r="AT869" i="1"/>
  <c r="AS869" i="1"/>
  <c r="AT868" i="1"/>
  <c r="AS868" i="1"/>
  <c r="AT867" i="1"/>
  <c r="AS867" i="1"/>
  <c r="AR867" i="1"/>
  <c r="AT866" i="1"/>
  <c r="AS866" i="1"/>
  <c r="AT865" i="1"/>
  <c r="AS865" i="1"/>
  <c r="AT864" i="1"/>
  <c r="AS864" i="1"/>
  <c r="AR864" i="1"/>
  <c r="AT863" i="1"/>
  <c r="AS863" i="1"/>
  <c r="AR863" i="1"/>
  <c r="AT862" i="1"/>
  <c r="AS862" i="1"/>
  <c r="AR862" i="1"/>
  <c r="AT861" i="1"/>
  <c r="AS861" i="1"/>
  <c r="AT860" i="1"/>
  <c r="AS860" i="1"/>
  <c r="AR860" i="1"/>
  <c r="AT859" i="1"/>
  <c r="AS859" i="1"/>
  <c r="AR859" i="1"/>
  <c r="AT858" i="1"/>
  <c r="AS858" i="1"/>
  <c r="AT857" i="1"/>
  <c r="AS857" i="1"/>
  <c r="AT856" i="1"/>
  <c r="AS856" i="1"/>
  <c r="AR856" i="1"/>
  <c r="AT855" i="1"/>
  <c r="AS855" i="1"/>
  <c r="AT854" i="1"/>
  <c r="AS854" i="1"/>
  <c r="AR854" i="1"/>
  <c r="AT853" i="1"/>
  <c r="AS853" i="1"/>
  <c r="AT852" i="1"/>
  <c r="AS852" i="1"/>
  <c r="AR852" i="1"/>
  <c r="AT851" i="1"/>
  <c r="AS851" i="1"/>
  <c r="AR851" i="1"/>
  <c r="AT850" i="1"/>
  <c r="AS850" i="1"/>
  <c r="AT849" i="1"/>
  <c r="AS849" i="1"/>
  <c r="AT848" i="1"/>
  <c r="AS848" i="1"/>
  <c r="AT847" i="1"/>
  <c r="AS847" i="1"/>
  <c r="AT846" i="1"/>
  <c r="AS846" i="1"/>
  <c r="AT845" i="1"/>
  <c r="AS845" i="1"/>
  <c r="AR845" i="1"/>
  <c r="AT844" i="1"/>
  <c r="AS844" i="1"/>
  <c r="AT843" i="1"/>
  <c r="AS843" i="1"/>
  <c r="AT842" i="1"/>
  <c r="AS842" i="1"/>
  <c r="AR842" i="1"/>
  <c r="AT841" i="1"/>
  <c r="AS841" i="1"/>
  <c r="AR841" i="1"/>
  <c r="AT840" i="1"/>
  <c r="AS840" i="1"/>
  <c r="AR840" i="1"/>
  <c r="AT839" i="1"/>
  <c r="AS839" i="1"/>
  <c r="AT838" i="1"/>
  <c r="AS838" i="1"/>
  <c r="AR838" i="1"/>
  <c r="AT837" i="1"/>
  <c r="AS837" i="1"/>
  <c r="AT836" i="1"/>
  <c r="AS836" i="1"/>
  <c r="AT835" i="1"/>
  <c r="AS835" i="1"/>
  <c r="AT834" i="1"/>
  <c r="AS834" i="1"/>
  <c r="AR834" i="1"/>
  <c r="AT833" i="1"/>
  <c r="AS833" i="1"/>
  <c r="AR833" i="1"/>
  <c r="AT832" i="1"/>
  <c r="AS832" i="1"/>
  <c r="AR832" i="1"/>
  <c r="AT831" i="1"/>
  <c r="AS831" i="1"/>
  <c r="AT830" i="1"/>
  <c r="AS830" i="1"/>
  <c r="AR830" i="1"/>
  <c r="AT829" i="1"/>
  <c r="AS829" i="1"/>
  <c r="AR829" i="1"/>
  <c r="AT828" i="1"/>
  <c r="AS828" i="1"/>
  <c r="AT827" i="1"/>
  <c r="AS827" i="1"/>
  <c r="AT826" i="1"/>
  <c r="AS826" i="1"/>
  <c r="AT825" i="1"/>
  <c r="AS825" i="1"/>
  <c r="AT824" i="1"/>
  <c r="AS824" i="1"/>
  <c r="AR824" i="1"/>
  <c r="AT823" i="1"/>
  <c r="AS823" i="1"/>
  <c r="AR823" i="1"/>
  <c r="AT822" i="1"/>
  <c r="AS822" i="1"/>
  <c r="AR822" i="1"/>
  <c r="AT821" i="1"/>
  <c r="AS821" i="1"/>
  <c r="AR821" i="1"/>
  <c r="AT820" i="1"/>
  <c r="AS820" i="1"/>
  <c r="AR820" i="1"/>
  <c r="AT819" i="1"/>
  <c r="AS819" i="1"/>
  <c r="AT818" i="1"/>
  <c r="AS818" i="1"/>
  <c r="AR818" i="1"/>
  <c r="AT817" i="1"/>
  <c r="AS817" i="1"/>
  <c r="AR817" i="1"/>
  <c r="AT816" i="1"/>
  <c r="AS816" i="1"/>
  <c r="AT815" i="1"/>
  <c r="AS815" i="1"/>
  <c r="AR815" i="1"/>
  <c r="AT814" i="1"/>
  <c r="AS814" i="1"/>
  <c r="AR814" i="1"/>
  <c r="AT813" i="1"/>
  <c r="AS813" i="1"/>
  <c r="AR813" i="1"/>
  <c r="AT812" i="1"/>
  <c r="AS812" i="1"/>
  <c r="AR812" i="1"/>
  <c r="AT811" i="1"/>
  <c r="AS811" i="1"/>
  <c r="AT810" i="1"/>
  <c r="AS810" i="1"/>
  <c r="AR810" i="1"/>
  <c r="AT809" i="1"/>
  <c r="AS809" i="1"/>
  <c r="AR809" i="1"/>
  <c r="AT808" i="1"/>
  <c r="AS808" i="1"/>
  <c r="AT807" i="1"/>
  <c r="AS807" i="1"/>
  <c r="AR807" i="1"/>
  <c r="AT806" i="1"/>
  <c r="AS806" i="1"/>
  <c r="AR806" i="1"/>
  <c r="AT805" i="1"/>
  <c r="AS805" i="1"/>
  <c r="AT804" i="1"/>
  <c r="AS804" i="1"/>
  <c r="AR804" i="1"/>
  <c r="AT803" i="1"/>
  <c r="AS803" i="1"/>
  <c r="AR803" i="1"/>
  <c r="AT802" i="1"/>
  <c r="AS802" i="1"/>
  <c r="AR802" i="1"/>
  <c r="AT801" i="1"/>
  <c r="AS801" i="1"/>
  <c r="AT800" i="1"/>
  <c r="AS800" i="1"/>
  <c r="AR800" i="1"/>
  <c r="AT799" i="1"/>
  <c r="AS799" i="1"/>
  <c r="AR799" i="1"/>
  <c r="AT798" i="1"/>
  <c r="AS798" i="1"/>
  <c r="AR798" i="1"/>
  <c r="AT797" i="1"/>
  <c r="AS797" i="1"/>
  <c r="AT796" i="1"/>
  <c r="AS796" i="1"/>
  <c r="AT795" i="1"/>
  <c r="AS795" i="1"/>
  <c r="AR795" i="1"/>
  <c r="AT794" i="1"/>
  <c r="AS794" i="1"/>
  <c r="AR794" i="1"/>
  <c r="AT793" i="1"/>
  <c r="AS793" i="1"/>
  <c r="AR793" i="1"/>
  <c r="AT792" i="1"/>
  <c r="AS792" i="1"/>
  <c r="AR792" i="1"/>
  <c r="AT791" i="1"/>
  <c r="AS791" i="1"/>
  <c r="AR791" i="1"/>
  <c r="AT790" i="1"/>
  <c r="AS790" i="1"/>
  <c r="AT789" i="1"/>
  <c r="AS789" i="1"/>
  <c r="AT788" i="1"/>
  <c r="AS788" i="1"/>
  <c r="AT787" i="1"/>
  <c r="AS787" i="1"/>
  <c r="AT786" i="1"/>
  <c r="AS786" i="1"/>
  <c r="AR786" i="1"/>
  <c r="AT785" i="1"/>
  <c r="AS785" i="1"/>
  <c r="AR785" i="1"/>
  <c r="AT784" i="1"/>
  <c r="AS784" i="1"/>
  <c r="AR784" i="1"/>
  <c r="AT783" i="1"/>
  <c r="AS783" i="1"/>
  <c r="AR783" i="1"/>
  <c r="AT782" i="1"/>
  <c r="AS782" i="1"/>
  <c r="AR782" i="1"/>
  <c r="AT781" i="1"/>
  <c r="AS781" i="1"/>
  <c r="AT780" i="1"/>
  <c r="AS780" i="1"/>
  <c r="AR780" i="1"/>
  <c r="AT779" i="1"/>
  <c r="AS779" i="1"/>
  <c r="AT778" i="1"/>
  <c r="AS778" i="1"/>
  <c r="AR778" i="1"/>
  <c r="AT777" i="1"/>
  <c r="AS777" i="1"/>
  <c r="AR777" i="1"/>
  <c r="AT776" i="1"/>
  <c r="AS776" i="1"/>
  <c r="AT775" i="1"/>
  <c r="AS775" i="1"/>
  <c r="AR775" i="1"/>
  <c r="AT774" i="1"/>
  <c r="AS774" i="1"/>
  <c r="AT773" i="1"/>
  <c r="AS773" i="1"/>
  <c r="AT772" i="1"/>
  <c r="AS772" i="1"/>
  <c r="AR772" i="1"/>
  <c r="AT771" i="1"/>
  <c r="AS771" i="1"/>
  <c r="AR771" i="1"/>
  <c r="AT770" i="1"/>
  <c r="AS770" i="1"/>
  <c r="AT769" i="1"/>
  <c r="AS769" i="1"/>
  <c r="AR769" i="1"/>
  <c r="AT768" i="1"/>
  <c r="AS768" i="1"/>
  <c r="AT767" i="1"/>
  <c r="AS767" i="1"/>
  <c r="AT766" i="1"/>
  <c r="AS766" i="1"/>
  <c r="AR766" i="1"/>
  <c r="AT765" i="1"/>
  <c r="AS765" i="1"/>
  <c r="AT764" i="1"/>
  <c r="AS764" i="1"/>
  <c r="AR764" i="1"/>
  <c r="AT763" i="1"/>
  <c r="AS763" i="1"/>
  <c r="AR763" i="1"/>
  <c r="AT762" i="1"/>
  <c r="AS762" i="1"/>
  <c r="AR762" i="1"/>
  <c r="AT761" i="1"/>
  <c r="AS761" i="1"/>
  <c r="AR761" i="1"/>
  <c r="AT760" i="1"/>
  <c r="AS760" i="1"/>
  <c r="AR760" i="1"/>
  <c r="AT759" i="1"/>
  <c r="AS759" i="1"/>
  <c r="AR759" i="1"/>
  <c r="AT758" i="1"/>
  <c r="AS758" i="1"/>
  <c r="AR758" i="1"/>
  <c r="AT757" i="1"/>
  <c r="AS757" i="1"/>
  <c r="AR757" i="1"/>
  <c r="AT756" i="1"/>
  <c r="AS756" i="1"/>
  <c r="AR756" i="1"/>
  <c r="AT755" i="1"/>
  <c r="AS755" i="1"/>
  <c r="AT754" i="1"/>
  <c r="AS754" i="1"/>
  <c r="AT753" i="1"/>
  <c r="AS753" i="1"/>
  <c r="AR753" i="1"/>
  <c r="AT752" i="1"/>
  <c r="AS752" i="1"/>
  <c r="AR752" i="1"/>
  <c r="AT751" i="1"/>
  <c r="AS751" i="1"/>
  <c r="AT750" i="1"/>
  <c r="AS750" i="1"/>
  <c r="AT749" i="1"/>
  <c r="AS749" i="1"/>
  <c r="AR749" i="1"/>
  <c r="AT748" i="1"/>
  <c r="AS748" i="1"/>
  <c r="AT747" i="1"/>
  <c r="AS747" i="1"/>
  <c r="AR747" i="1"/>
  <c r="AT746" i="1"/>
  <c r="AS746" i="1"/>
  <c r="AT745" i="1"/>
  <c r="AS745" i="1"/>
  <c r="AT744" i="1"/>
  <c r="AS744" i="1"/>
  <c r="AR744" i="1"/>
  <c r="AT743" i="1"/>
  <c r="AS743" i="1"/>
  <c r="AT742" i="1"/>
  <c r="AS742" i="1"/>
  <c r="AR742" i="1"/>
  <c r="AT741" i="1"/>
  <c r="AS741" i="1"/>
  <c r="AT740" i="1"/>
  <c r="AS740" i="1"/>
  <c r="AR740" i="1"/>
  <c r="AT739" i="1"/>
  <c r="AS739" i="1"/>
  <c r="AR739" i="1"/>
  <c r="AT738" i="1"/>
  <c r="AS738" i="1"/>
  <c r="AR738" i="1"/>
  <c r="AT737" i="1"/>
  <c r="AS737" i="1"/>
  <c r="AT736" i="1"/>
  <c r="AS736" i="1"/>
  <c r="AT735" i="1"/>
  <c r="AS735" i="1"/>
  <c r="AT734" i="1"/>
  <c r="AS734" i="1"/>
  <c r="AT733" i="1"/>
  <c r="AS733" i="1"/>
  <c r="AT732" i="1"/>
  <c r="AS732" i="1"/>
  <c r="AT731" i="1"/>
  <c r="AS731" i="1"/>
  <c r="AT730" i="1"/>
  <c r="AS730" i="1"/>
  <c r="AT729" i="1"/>
  <c r="AS729" i="1"/>
  <c r="AT728" i="1"/>
  <c r="AS728" i="1"/>
  <c r="AT727" i="1"/>
  <c r="AS727" i="1"/>
  <c r="AT726" i="1"/>
  <c r="AS726" i="1"/>
  <c r="AT725" i="1"/>
  <c r="AS725" i="1"/>
  <c r="AT724" i="1"/>
  <c r="AS724" i="1"/>
  <c r="AT723" i="1"/>
  <c r="AS723" i="1"/>
  <c r="AT722" i="1"/>
  <c r="AS722" i="1"/>
  <c r="AT721" i="1"/>
  <c r="AS721" i="1"/>
  <c r="AT720" i="1"/>
  <c r="AS720" i="1"/>
  <c r="AT719" i="1"/>
  <c r="AS719" i="1"/>
  <c r="AT718" i="1"/>
  <c r="AS718" i="1"/>
  <c r="AT717" i="1"/>
  <c r="AS717" i="1"/>
  <c r="AT716" i="1"/>
  <c r="AS716" i="1"/>
  <c r="AR716" i="1"/>
  <c r="AT715" i="1"/>
  <c r="AS715" i="1"/>
  <c r="AR715" i="1"/>
  <c r="AT714" i="1"/>
  <c r="AS714" i="1"/>
  <c r="AR714" i="1"/>
  <c r="AT713" i="1"/>
  <c r="AS713" i="1"/>
  <c r="AR713" i="1"/>
  <c r="AT712" i="1"/>
  <c r="AS712" i="1"/>
  <c r="AR712" i="1"/>
  <c r="AT711" i="1"/>
  <c r="AS711" i="1"/>
  <c r="AR711" i="1"/>
  <c r="AT710" i="1"/>
  <c r="AS710" i="1"/>
  <c r="AR710" i="1"/>
  <c r="AT709" i="1"/>
  <c r="AS709" i="1"/>
  <c r="AR709" i="1"/>
  <c r="AT708" i="1"/>
  <c r="AS708" i="1"/>
  <c r="AR708" i="1"/>
  <c r="AT707" i="1"/>
  <c r="AS707" i="1"/>
  <c r="AR707" i="1"/>
  <c r="AT706" i="1"/>
  <c r="AS706" i="1"/>
  <c r="AR706" i="1"/>
  <c r="AT705" i="1"/>
  <c r="AS705" i="1"/>
  <c r="AR705" i="1"/>
  <c r="AT704" i="1"/>
  <c r="AS704" i="1"/>
  <c r="AT703" i="1"/>
  <c r="AS703" i="1"/>
  <c r="AT702" i="1"/>
  <c r="AS702" i="1"/>
  <c r="AT701" i="1"/>
  <c r="AS701" i="1"/>
  <c r="AR701" i="1"/>
  <c r="AT700" i="1"/>
  <c r="AS700" i="1"/>
  <c r="AR700" i="1"/>
  <c r="AT699" i="1"/>
  <c r="AS699" i="1"/>
  <c r="AT698" i="1"/>
  <c r="AS698" i="1"/>
  <c r="AR698" i="1"/>
  <c r="AT697" i="1"/>
  <c r="AS697" i="1"/>
  <c r="AT696" i="1"/>
  <c r="AS696" i="1"/>
  <c r="AT695" i="1"/>
  <c r="AS695" i="1"/>
  <c r="AR695" i="1"/>
  <c r="AT694" i="1"/>
  <c r="AS694" i="1"/>
  <c r="AT693" i="1"/>
  <c r="AS693" i="1"/>
  <c r="AR693" i="1"/>
  <c r="AT692" i="1"/>
  <c r="AS692" i="1"/>
  <c r="AT691" i="1"/>
  <c r="AS691" i="1"/>
  <c r="AT690" i="1"/>
  <c r="AS690" i="1"/>
  <c r="AR690" i="1"/>
  <c r="AT689" i="1"/>
  <c r="AS689" i="1"/>
  <c r="AT688" i="1"/>
  <c r="AS688" i="1"/>
  <c r="AT687" i="1"/>
  <c r="AS687" i="1"/>
  <c r="AR687" i="1"/>
  <c r="AT686" i="1"/>
  <c r="AS686" i="1"/>
  <c r="AR686" i="1"/>
  <c r="AT685" i="1"/>
  <c r="AS685" i="1"/>
  <c r="AR685" i="1"/>
  <c r="AT684" i="1"/>
  <c r="AS684" i="1"/>
  <c r="AR684" i="1"/>
  <c r="AT683" i="1"/>
  <c r="AS683" i="1"/>
  <c r="AR683" i="1"/>
  <c r="AT682" i="1"/>
  <c r="AS682" i="1"/>
  <c r="AR682" i="1"/>
  <c r="AT681" i="1"/>
  <c r="AS681" i="1"/>
  <c r="AR681" i="1"/>
  <c r="AT680" i="1"/>
  <c r="AS680" i="1"/>
  <c r="AR680" i="1"/>
  <c r="AT679" i="1"/>
  <c r="AS679" i="1"/>
  <c r="AR679" i="1"/>
  <c r="AT678" i="1"/>
  <c r="AS678" i="1"/>
  <c r="AR678" i="1"/>
  <c r="AT677" i="1"/>
  <c r="AS677" i="1"/>
  <c r="AR677" i="1"/>
  <c r="AT676" i="1"/>
  <c r="AS676" i="1"/>
  <c r="AR676" i="1"/>
  <c r="AT675" i="1"/>
  <c r="AS675" i="1"/>
  <c r="AR675" i="1"/>
  <c r="AT674" i="1"/>
  <c r="AS674" i="1"/>
  <c r="AR674" i="1"/>
  <c r="AT673" i="1"/>
  <c r="AS673" i="1"/>
  <c r="AR673" i="1"/>
  <c r="AT672" i="1"/>
  <c r="AS672" i="1"/>
  <c r="AR672" i="1"/>
  <c r="AT671" i="1"/>
  <c r="AS671" i="1"/>
  <c r="AR671" i="1"/>
  <c r="AT670" i="1"/>
  <c r="AS670" i="1"/>
  <c r="AR670" i="1"/>
  <c r="AT669" i="1"/>
  <c r="AS669" i="1"/>
  <c r="AR669" i="1"/>
  <c r="AT668" i="1"/>
  <c r="AS668" i="1"/>
  <c r="AR668" i="1"/>
  <c r="AT667" i="1"/>
  <c r="AS667" i="1"/>
  <c r="AR667" i="1"/>
  <c r="AT666" i="1"/>
  <c r="AS666" i="1"/>
  <c r="AR666" i="1"/>
  <c r="AT665" i="1"/>
  <c r="AS665" i="1"/>
  <c r="AR665" i="1"/>
  <c r="AT664" i="1"/>
  <c r="AS664" i="1"/>
  <c r="AR664" i="1"/>
  <c r="AT663" i="1"/>
  <c r="AS663" i="1"/>
  <c r="AR663" i="1"/>
  <c r="AT662" i="1"/>
  <c r="AS662" i="1"/>
  <c r="AR662" i="1"/>
  <c r="AT661" i="1"/>
  <c r="AS661" i="1"/>
  <c r="AR661" i="1"/>
  <c r="AT660" i="1"/>
  <c r="AS660" i="1"/>
  <c r="AR660" i="1"/>
  <c r="AT659" i="1"/>
  <c r="AS659" i="1"/>
  <c r="AR659" i="1"/>
  <c r="AT658" i="1"/>
  <c r="AS658" i="1"/>
  <c r="AR658" i="1"/>
  <c r="AT657" i="1"/>
  <c r="AS657" i="1"/>
  <c r="AR657" i="1"/>
  <c r="AT656" i="1"/>
  <c r="AS656" i="1"/>
  <c r="AR656" i="1"/>
  <c r="AT655" i="1"/>
  <c r="AS655" i="1"/>
  <c r="AR655" i="1"/>
  <c r="AT654" i="1"/>
  <c r="AS654" i="1"/>
  <c r="AR654" i="1"/>
  <c r="AT653" i="1"/>
  <c r="AS653" i="1"/>
  <c r="AR653" i="1"/>
  <c r="AT652" i="1"/>
  <c r="AS652" i="1"/>
  <c r="AR652" i="1"/>
  <c r="AT651" i="1"/>
  <c r="AS651" i="1"/>
  <c r="AR651" i="1"/>
  <c r="AT650" i="1"/>
  <c r="AS650" i="1"/>
  <c r="AR650" i="1"/>
  <c r="AT649" i="1"/>
  <c r="AS649" i="1"/>
  <c r="AR649" i="1"/>
  <c r="AT648" i="1"/>
  <c r="AS648" i="1"/>
  <c r="AR648" i="1"/>
  <c r="AT647" i="1"/>
  <c r="AS647" i="1"/>
  <c r="AR647" i="1"/>
  <c r="AT646" i="1"/>
  <c r="AS646" i="1"/>
  <c r="AR646" i="1"/>
  <c r="AT645" i="1"/>
  <c r="AS645" i="1"/>
  <c r="AR645" i="1"/>
  <c r="AT644" i="1"/>
  <c r="AS644" i="1"/>
  <c r="AR644" i="1"/>
  <c r="AT643" i="1"/>
  <c r="AS643" i="1"/>
  <c r="AR643" i="1"/>
  <c r="AT642" i="1"/>
  <c r="AS642" i="1"/>
  <c r="AR642" i="1"/>
  <c r="AT641" i="1"/>
  <c r="AS641" i="1"/>
  <c r="AR641" i="1"/>
  <c r="AT640" i="1"/>
  <c r="AS640" i="1"/>
  <c r="AR640" i="1"/>
  <c r="AT639" i="1"/>
  <c r="AS639" i="1"/>
  <c r="AR639" i="1"/>
  <c r="AT638" i="1"/>
  <c r="AS638" i="1"/>
  <c r="AR638" i="1"/>
  <c r="AT637" i="1"/>
  <c r="AS637" i="1"/>
  <c r="AR637" i="1"/>
  <c r="AT636" i="1"/>
  <c r="AS636" i="1"/>
  <c r="AR636" i="1"/>
  <c r="AT635" i="1"/>
  <c r="AS635" i="1"/>
  <c r="AR635" i="1"/>
  <c r="AT634" i="1"/>
  <c r="AS634" i="1"/>
  <c r="AR634" i="1"/>
  <c r="AT633" i="1"/>
  <c r="AS633" i="1"/>
  <c r="AT632" i="1"/>
  <c r="AS632" i="1"/>
  <c r="AR632" i="1"/>
  <c r="AT631" i="1"/>
  <c r="AS631" i="1"/>
  <c r="AR631" i="1"/>
  <c r="AT630" i="1"/>
  <c r="AS630" i="1"/>
  <c r="AR630" i="1"/>
  <c r="AT629" i="1"/>
  <c r="AS629" i="1"/>
  <c r="AR629" i="1"/>
  <c r="AT628" i="1"/>
  <c r="AS628" i="1"/>
  <c r="AR628" i="1"/>
  <c r="AT627" i="1"/>
  <c r="AS627" i="1"/>
  <c r="AR627" i="1"/>
  <c r="AT626" i="1"/>
  <c r="AS626" i="1"/>
  <c r="AR626" i="1"/>
  <c r="AT625" i="1"/>
  <c r="AS625" i="1"/>
  <c r="AR625" i="1"/>
  <c r="AT624" i="1"/>
  <c r="AS624" i="1"/>
  <c r="AR624" i="1"/>
  <c r="AT623" i="1"/>
  <c r="AS623" i="1"/>
  <c r="AR623" i="1"/>
  <c r="AT622" i="1"/>
  <c r="AS622" i="1"/>
  <c r="AT621" i="1"/>
  <c r="AS621" i="1"/>
  <c r="AT620" i="1"/>
  <c r="AS620" i="1"/>
  <c r="AR620" i="1"/>
  <c r="AT619" i="1"/>
  <c r="AS619" i="1"/>
  <c r="AT618" i="1"/>
  <c r="AS618" i="1"/>
  <c r="AT617" i="1"/>
  <c r="AS617" i="1"/>
  <c r="AR617" i="1"/>
  <c r="AT616" i="1"/>
  <c r="AS616" i="1"/>
  <c r="AR616" i="1"/>
  <c r="AT615" i="1"/>
  <c r="AS615" i="1"/>
  <c r="AR615" i="1"/>
  <c r="AT614" i="1"/>
  <c r="AS614" i="1"/>
  <c r="AR614" i="1"/>
  <c r="AT613" i="1"/>
  <c r="AS613" i="1"/>
  <c r="AT612" i="1"/>
  <c r="AS612" i="1"/>
  <c r="AR612" i="1"/>
  <c r="AT611" i="1"/>
  <c r="AS611" i="1"/>
  <c r="AR611" i="1"/>
  <c r="AT610" i="1"/>
  <c r="AS610" i="1"/>
  <c r="AR610" i="1"/>
  <c r="AT609" i="1"/>
  <c r="AS609" i="1"/>
  <c r="AR609" i="1"/>
  <c r="AT608" i="1"/>
  <c r="AS608" i="1"/>
  <c r="AT607" i="1"/>
  <c r="AS607" i="1"/>
  <c r="AR607" i="1"/>
  <c r="AT606" i="1"/>
  <c r="AS606" i="1"/>
  <c r="AT605" i="1"/>
  <c r="AS605" i="1"/>
  <c r="AR605" i="1"/>
  <c r="AT604" i="1"/>
  <c r="AS604" i="1"/>
  <c r="AR604" i="1"/>
  <c r="AT603" i="1"/>
  <c r="AS603" i="1"/>
  <c r="AR603" i="1"/>
  <c r="AT602" i="1"/>
  <c r="AS602" i="1"/>
  <c r="AR602" i="1"/>
  <c r="AT601" i="1"/>
  <c r="AS601" i="1"/>
  <c r="AR601" i="1"/>
  <c r="AT600" i="1"/>
  <c r="AS600" i="1"/>
  <c r="AR600" i="1"/>
  <c r="AT599" i="1"/>
  <c r="AS599" i="1"/>
  <c r="AR599" i="1"/>
  <c r="AT598" i="1"/>
  <c r="AS598" i="1"/>
  <c r="AT597" i="1"/>
  <c r="AS597" i="1"/>
  <c r="AR597" i="1"/>
  <c r="AT596" i="1"/>
  <c r="AS596" i="1"/>
  <c r="AR596" i="1"/>
  <c r="AT595" i="1"/>
  <c r="AS595" i="1"/>
  <c r="AT594" i="1"/>
  <c r="AS594" i="1"/>
  <c r="AT593" i="1"/>
  <c r="AS593" i="1"/>
  <c r="AR593" i="1"/>
  <c r="AT592" i="1"/>
  <c r="AS592" i="1"/>
  <c r="AT591" i="1"/>
  <c r="AS591" i="1"/>
  <c r="AR591" i="1"/>
  <c r="AT590" i="1"/>
  <c r="AS590" i="1"/>
  <c r="AR590" i="1"/>
  <c r="AT589" i="1"/>
  <c r="AS589" i="1"/>
  <c r="AR589" i="1"/>
  <c r="AT588" i="1"/>
  <c r="AS588" i="1"/>
  <c r="AT587" i="1"/>
  <c r="AS587" i="1"/>
  <c r="AR587" i="1"/>
  <c r="AT586" i="1"/>
  <c r="AS586" i="1"/>
  <c r="AR586" i="1"/>
  <c r="AT585" i="1"/>
  <c r="AS585" i="1"/>
  <c r="AT584" i="1"/>
  <c r="AS584" i="1"/>
  <c r="AR584" i="1"/>
  <c r="AT583" i="1"/>
  <c r="AS583" i="1"/>
  <c r="AR583" i="1"/>
  <c r="AT582" i="1"/>
  <c r="AS582" i="1"/>
  <c r="AT581" i="1"/>
  <c r="AS581" i="1"/>
  <c r="AR581" i="1"/>
  <c r="AT580" i="1"/>
  <c r="AS580" i="1"/>
  <c r="AR580" i="1"/>
  <c r="AT579" i="1"/>
  <c r="AS579" i="1"/>
  <c r="AR579" i="1"/>
  <c r="AT578" i="1"/>
  <c r="AS578" i="1"/>
  <c r="AT577" i="1"/>
  <c r="AS577" i="1"/>
  <c r="AT576" i="1"/>
  <c r="AS576" i="1"/>
  <c r="AR576" i="1"/>
  <c r="AT575" i="1"/>
  <c r="AS575" i="1"/>
  <c r="AR575" i="1"/>
  <c r="AT574" i="1"/>
  <c r="AS574" i="1"/>
  <c r="AR574" i="1"/>
  <c r="AT573" i="1"/>
  <c r="AS573" i="1"/>
  <c r="AR573" i="1"/>
  <c r="AT572" i="1"/>
  <c r="AS572" i="1"/>
  <c r="AR572" i="1"/>
  <c r="AT571" i="1"/>
  <c r="AS571" i="1"/>
  <c r="AR571" i="1"/>
  <c r="AT570" i="1"/>
  <c r="AS570" i="1"/>
  <c r="AR570" i="1"/>
  <c r="AT569" i="1"/>
  <c r="AS569" i="1"/>
  <c r="AR569" i="1"/>
  <c r="AT568" i="1"/>
  <c r="AS568" i="1"/>
  <c r="AT567" i="1"/>
  <c r="AS567" i="1"/>
  <c r="AT566" i="1"/>
  <c r="AS566" i="1"/>
  <c r="AR566" i="1"/>
  <c r="AT565" i="1"/>
  <c r="AS565" i="1"/>
  <c r="AR565" i="1"/>
  <c r="AT564" i="1"/>
  <c r="AS564" i="1"/>
  <c r="AR564" i="1"/>
  <c r="AT563" i="1"/>
  <c r="AS563" i="1"/>
  <c r="AR563" i="1"/>
  <c r="AT562" i="1"/>
  <c r="AS562" i="1"/>
  <c r="AR562" i="1"/>
  <c r="AT561" i="1"/>
  <c r="AS561" i="1"/>
  <c r="AR561" i="1"/>
  <c r="AT560" i="1"/>
  <c r="AS560" i="1"/>
  <c r="AR560" i="1"/>
  <c r="AT559" i="1"/>
  <c r="AS559" i="1"/>
  <c r="AR559" i="1"/>
  <c r="AT558" i="1"/>
  <c r="AS558" i="1"/>
  <c r="AR558" i="1"/>
  <c r="AT557" i="1"/>
  <c r="AS557" i="1"/>
  <c r="AR557" i="1"/>
  <c r="AT556" i="1"/>
  <c r="AS556" i="1"/>
  <c r="AR556" i="1"/>
  <c r="AT555" i="1"/>
  <c r="AS555" i="1"/>
  <c r="AR555" i="1"/>
  <c r="AT554" i="1"/>
  <c r="AS554" i="1"/>
  <c r="AR554" i="1"/>
  <c r="AT553" i="1"/>
  <c r="AS553" i="1"/>
  <c r="AR553" i="1"/>
  <c r="AT552" i="1"/>
  <c r="AS552" i="1"/>
  <c r="AR552" i="1"/>
  <c r="AT551" i="1"/>
  <c r="AS551" i="1"/>
  <c r="AR551" i="1"/>
  <c r="AT550" i="1"/>
  <c r="AS550" i="1"/>
  <c r="AR550" i="1"/>
  <c r="AT549" i="1"/>
  <c r="AS549" i="1"/>
  <c r="AT548" i="1"/>
  <c r="AS548" i="1"/>
  <c r="AR548" i="1"/>
  <c r="AT547" i="1"/>
  <c r="AS547" i="1"/>
  <c r="AR547" i="1"/>
  <c r="AT546" i="1"/>
  <c r="AS546" i="1"/>
  <c r="AR546" i="1"/>
  <c r="AT545" i="1"/>
  <c r="AS545" i="1"/>
  <c r="AT544" i="1"/>
  <c r="AS544" i="1"/>
  <c r="AR544" i="1"/>
  <c r="AT543" i="1"/>
  <c r="AS543" i="1"/>
  <c r="AR543" i="1"/>
  <c r="AT542" i="1"/>
  <c r="AS542" i="1"/>
  <c r="AR542" i="1"/>
  <c r="AT541" i="1"/>
  <c r="AS541" i="1"/>
  <c r="AT540" i="1"/>
  <c r="AS540" i="1"/>
  <c r="AR540" i="1"/>
  <c r="AT539" i="1"/>
  <c r="AS539" i="1"/>
  <c r="AR539" i="1"/>
  <c r="AT538" i="1"/>
  <c r="AS538" i="1"/>
  <c r="AT537" i="1"/>
  <c r="AS537" i="1"/>
  <c r="AR537" i="1"/>
  <c r="AT536" i="1"/>
  <c r="AS536" i="1"/>
  <c r="AR536" i="1"/>
  <c r="AT535" i="1"/>
  <c r="AS535" i="1"/>
  <c r="AR535" i="1"/>
  <c r="AT534" i="1"/>
  <c r="AS534" i="1"/>
  <c r="AR534" i="1"/>
  <c r="AT533" i="1"/>
  <c r="AS533" i="1"/>
  <c r="AR533" i="1"/>
  <c r="AT532" i="1"/>
  <c r="AS532" i="1"/>
  <c r="AR532" i="1"/>
  <c r="AT531" i="1"/>
  <c r="AS531" i="1"/>
  <c r="AR531" i="1"/>
  <c r="AT530" i="1"/>
  <c r="AS530" i="1"/>
  <c r="AT529" i="1"/>
  <c r="AS529" i="1"/>
  <c r="AR529" i="1"/>
  <c r="AT528" i="1"/>
  <c r="AS528" i="1"/>
  <c r="AR528" i="1"/>
  <c r="AT527" i="1"/>
  <c r="AS527" i="1"/>
  <c r="AR527" i="1"/>
  <c r="AT526" i="1"/>
  <c r="AS526" i="1"/>
  <c r="AR526" i="1"/>
  <c r="AT525" i="1"/>
  <c r="AS525" i="1"/>
  <c r="AT524" i="1"/>
  <c r="AS524" i="1"/>
  <c r="AT523" i="1"/>
  <c r="AS523" i="1"/>
  <c r="AT522" i="1"/>
  <c r="AS522" i="1"/>
  <c r="AR522" i="1"/>
  <c r="AT521" i="1"/>
  <c r="AS521" i="1"/>
  <c r="AR521" i="1"/>
  <c r="AT520" i="1"/>
  <c r="AS520" i="1"/>
  <c r="AR520" i="1"/>
  <c r="AT519" i="1"/>
  <c r="AS519" i="1"/>
  <c r="AR519" i="1"/>
  <c r="AT518" i="1"/>
  <c r="AS518" i="1"/>
  <c r="AR518" i="1"/>
  <c r="AT517" i="1"/>
  <c r="AS517" i="1"/>
  <c r="AR517" i="1"/>
  <c r="AT516" i="1"/>
  <c r="AS516" i="1"/>
  <c r="AR516" i="1"/>
  <c r="AT515" i="1"/>
  <c r="AS515" i="1"/>
  <c r="AT514" i="1"/>
  <c r="AS514" i="1"/>
  <c r="AR514" i="1"/>
  <c r="AT513" i="1"/>
  <c r="AS513" i="1"/>
  <c r="AR513" i="1"/>
  <c r="AT512" i="1"/>
  <c r="AS512" i="1"/>
  <c r="AR512" i="1"/>
  <c r="AT511" i="1"/>
  <c r="AS511" i="1"/>
  <c r="AR511" i="1"/>
  <c r="AT510" i="1"/>
  <c r="AS510" i="1"/>
  <c r="AR510" i="1"/>
  <c r="AT509" i="1"/>
  <c r="AS509" i="1"/>
  <c r="AR509" i="1"/>
  <c r="AT508" i="1"/>
  <c r="AS508" i="1"/>
  <c r="AR508" i="1"/>
  <c r="AT507" i="1"/>
  <c r="AS507" i="1"/>
  <c r="AR507" i="1"/>
  <c r="AT506" i="1"/>
  <c r="AS506" i="1"/>
  <c r="AR506" i="1"/>
  <c r="AT505" i="1"/>
  <c r="AS505" i="1"/>
  <c r="AR505" i="1"/>
  <c r="AT504" i="1"/>
  <c r="AS504" i="1"/>
  <c r="AR504" i="1"/>
  <c r="AT503" i="1"/>
  <c r="AS503" i="1"/>
  <c r="AT502" i="1"/>
  <c r="AS502" i="1"/>
  <c r="AT501" i="1"/>
  <c r="AS501" i="1"/>
  <c r="AT500" i="1"/>
  <c r="AS500" i="1"/>
  <c r="AR500" i="1"/>
  <c r="AT499" i="1"/>
  <c r="AS499" i="1"/>
  <c r="AR499" i="1"/>
  <c r="AT498" i="1"/>
  <c r="AS498" i="1"/>
  <c r="AR498" i="1"/>
  <c r="AT497" i="1"/>
  <c r="AS497" i="1"/>
  <c r="AR497" i="1"/>
  <c r="AT496" i="1"/>
  <c r="AS496" i="1"/>
  <c r="AR496" i="1"/>
  <c r="AT495" i="1"/>
  <c r="AS495" i="1"/>
  <c r="AT494" i="1"/>
  <c r="AS494" i="1"/>
  <c r="AR494" i="1"/>
  <c r="AT493" i="1"/>
  <c r="AS493" i="1"/>
  <c r="AR493" i="1"/>
  <c r="AT492" i="1"/>
  <c r="AS492" i="1"/>
  <c r="AR492" i="1"/>
  <c r="AT491" i="1"/>
  <c r="AS491" i="1"/>
  <c r="AT490" i="1"/>
  <c r="AS490" i="1"/>
  <c r="AT489" i="1"/>
  <c r="AS489" i="1"/>
  <c r="AR489" i="1"/>
  <c r="AT488" i="1"/>
  <c r="AS488" i="1"/>
  <c r="AT487" i="1"/>
  <c r="AS487" i="1"/>
  <c r="AT486" i="1"/>
  <c r="AS486" i="1"/>
  <c r="AR486" i="1"/>
  <c r="AT485" i="1"/>
  <c r="AS485" i="1"/>
  <c r="AR485" i="1"/>
  <c r="AT484" i="1"/>
  <c r="AS484" i="1"/>
  <c r="AT483" i="1"/>
  <c r="AS483" i="1"/>
  <c r="AT482" i="1"/>
  <c r="AS482" i="1"/>
  <c r="AR482" i="1"/>
  <c r="AT481" i="1"/>
  <c r="AS481" i="1"/>
  <c r="AR481" i="1"/>
  <c r="AT480" i="1"/>
  <c r="AS480" i="1"/>
  <c r="AT479" i="1"/>
  <c r="AS479" i="1"/>
  <c r="AR479" i="1"/>
  <c r="AT478" i="1"/>
  <c r="AS478" i="1"/>
  <c r="AR478" i="1"/>
  <c r="AT477" i="1"/>
  <c r="AS477" i="1"/>
  <c r="AR477" i="1"/>
  <c r="AT476" i="1"/>
  <c r="AS476" i="1"/>
  <c r="AR476" i="1"/>
  <c r="AT475" i="1"/>
  <c r="AS475" i="1"/>
  <c r="AR475" i="1"/>
  <c r="AT474" i="1"/>
  <c r="AS474" i="1"/>
  <c r="AR474" i="1"/>
  <c r="AT473" i="1"/>
  <c r="AS473" i="1"/>
  <c r="AR473" i="1"/>
  <c r="AT472" i="1"/>
  <c r="AS472" i="1"/>
  <c r="AR472" i="1"/>
  <c r="AT471" i="1"/>
  <c r="AS471" i="1"/>
  <c r="AR471" i="1"/>
  <c r="AT470" i="1"/>
  <c r="AS470" i="1"/>
  <c r="AR470" i="1"/>
  <c r="AT469" i="1"/>
  <c r="AS469" i="1"/>
  <c r="AR469" i="1"/>
  <c r="AT468" i="1"/>
  <c r="AS468" i="1"/>
  <c r="AR468" i="1"/>
  <c r="AT467" i="1"/>
  <c r="AS467" i="1"/>
  <c r="AR467" i="1"/>
  <c r="AT466" i="1"/>
  <c r="AS466" i="1"/>
  <c r="AR466" i="1"/>
  <c r="AT465" i="1"/>
  <c r="AS465" i="1"/>
  <c r="AR465" i="1"/>
  <c r="AT464" i="1"/>
  <c r="AS464" i="1"/>
  <c r="AR464" i="1"/>
  <c r="AT463" i="1"/>
  <c r="AS463" i="1"/>
  <c r="AR463" i="1"/>
  <c r="AT462" i="1"/>
  <c r="AS462" i="1"/>
  <c r="AR462" i="1"/>
  <c r="AT461" i="1"/>
  <c r="AS461" i="1"/>
  <c r="AR461" i="1"/>
  <c r="AT460" i="1"/>
  <c r="AS460" i="1"/>
  <c r="AT459" i="1"/>
  <c r="AS459" i="1"/>
  <c r="AR459" i="1"/>
  <c r="AT458" i="1"/>
  <c r="AS458" i="1"/>
  <c r="AR458" i="1"/>
  <c r="AT457" i="1"/>
  <c r="AS457" i="1"/>
  <c r="AT456" i="1"/>
  <c r="AS456" i="1"/>
  <c r="AR456" i="1"/>
  <c r="AT455" i="1"/>
  <c r="AS455" i="1"/>
  <c r="AR455" i="1"/>
  <c r="AT454" i="1"/>
  <c r="AS454" i="1"/>
  <c r="AR454" i="1"/>
  <c r="AT453" i="1"/>
  <c r="AS453" i="1"/>
  <c r="AR453" i="1"/>
  <c r="AT452" i="1"/>
  <c r="AS452" i="1"/>
  <c r="AR452" i="1"/>
  <c r="AT451" i="1"/>
  <c r="AS451" i="1"/>
  <c r="AR451" i="1"/>
  <c r="AT450" i="1"/>
  <c r="AS450" i="1"/>
  <c r="AR450" i="1"/>
  <c r="AT449" i="1"/>
  <c r="AS449" i="1"/>
  <c r="AR449" i="1"/>
  <c r="AT448" i="1"/>
  <c r="AS448" i="1"/>
  <c r="AR448" i="1"/>
  <c r="AT447" i="1"/>
  <c r="AS447" i="1"/>
  <c r="AR447" i="1"/>
  <c r="AT446" i="1"/>
  <c r="AS446" i="1"/>
  <c r="AR446" i="1"/>
  <c r="AT445" i="1"/>
  <c r="AS445" i="1"/>
  <c r="AR445" i="1"/>
  <c r="AT444" i="1"/>
  <c r="AS444" i="1"/>
  <c r="AR444" i="1"/>
  <c r="AT443" i="1"/>
  <c r="AS443" i="1"/>
  <c r="AR443" i="1"/>
  <c r="AT442" i="1"/>
  <c r="AS442" i="1"/>
  <c r="AR442" i="1"/>
  <c r="AT441" i="1"/>
  <c r="AS441" i="1"/>
  <c r="AR441" i="1"/>
  <c r="AT440" i="1"/>
  <c r="AS440" i="1"/>
  <c r="AR440" i="1"/>
  <c r="AT439" i="1"/>
  <c r="AS439" i="1"/>
  <c r="AR439" i="1"/>
  <c r="AT438" i="1"/>
  <c r="AS438" i="1"/>
  <c r="AR438" i="1"/>
  <c r="AT437" i="1"/>
  <c r="AS437" i="1"/>
  <c r="AR437" i="1"/>
  <c r="AT436" i="1"/>
  <c r="AS436" i="1"/>
  <c r="AR436" i="1"/>
  <c r="AT435" i="1"/>
  <c r="AS435" i="1"/>
  <c r="AR435" i="1"/>
  <c r="AT434" i="1"/>
  <c r="AS434" i="1"/>
  <c r="AR434" i="1"/>
  <c r="AT433" i="1"/>
  <c r="AS433" i="1"/>
  <c r="AR433" i="1"/>
  <c r="AT432" i="1"/>
  <c r="AS432" i="1"/>
  <c r="AT431" i="1"/>
  <c r="AS431" i="1"/>
  <c r="AR431" i="1"/>
  <c r="AT430" i="1"/>
  <c r="AS430" i="1"/>
  <c r="AT429" i="1"/>
  <c r="AS429" i="1"/>
  <c r="AR429" i="1"/>
  <c r="AT428" i="1"/>
  <c r="AS428" i="1"/>
  <c r="AR428" i="1"/>
  <c r="AT427" i="1"/>
  <c r="AS427" i="1"/>
  <c r="AT426" i="1"/>
  <c r="AS426" i="1"/>
  <c r="AR426" i="1"/>
  <c r="AT425" i="1"/>
  <c r="AS425" i="1"/>
  <c r="AR425" i="1"/>
  <c r="AT424" i="1"/>
  <c r="AS424" i="1"/>
  <c r="AR424" i="1"/>
  <c r="AT423" i="1"/>
  <c r="AS423" i="1"/>
  <c r="AR423" i="1"/>
  <c r="AT422" i="1"/>
  <c r="AS422" i="1"/>
  <c r="AR422" i="1"/>
  <c r="AT421" i="1"/>
  <c r="AS421" i="1"/>
  <c r="AR421" i="1"/>
  <c r="AT420" i="1"/>
  <c r="AS420" i="1"/>
  <c r="AR420" i="1"/>
  <c r="AT419" i="1"/>
  <c r="AS419" i="1"/>
  <c r="AR419" i="1"/>
  <c r="AT418" i="1"/>
  <c r="AS418" i="1"/>
  <c r="AR418" i="1"/>
  <c r="AT417" i="1"/>
  <c r="AS417" i="1"/>
  <c r="AR417" i="1"/>
  <c r="AT416" i="1"/>
  <c r="AS416" i="1"/>
  <c r="AR416" i="1"/>
  <c r="AT415" i="1"/>
  <c r="AS415" i="1"/>
  <c r="AR415" i="1"/>
  <c r="AT414" i="1"/>
  <c r="AS414" i="1"/>
  <c r="AR414" i="1"/>
  <c r="AT413" i="1"/>
  <c r="AS413" i="1"/>
  <c r="AR413" i="1"/>
  <c r="AT412" i="1"/>
  <c r="AS412" i="1"/>
  <c r="AR412" i="1"/>
  <c r="AT411" i="1"/>
  <c r="AS411" i="1"/>
  <c r="AR411" i="1"/>
  <c r="AT410" i="1"/>
  <c r="AS410" i="1"/>
  <c r="AT409" i="1"/>
  <c r="AS409" i="1"/>
  <c r="AT408" i="1"/>
  <c r="AS408" i="1"/>
  <c r="AR408" i="1"/>
  <c r="AT407" i="1"/>
  <c r="AS407" i="1"/>
  <c r="AT406" i="1"/>
  <c r="AS406" i="1"/>
  <c r="AT405" i="1"/>
  <c r="AS405" i="1"/>
  <c r="AT404" i="1"/>
  <c r="AS404" i="1"/>
  <c r="AR404" i="1"/>
  <c r="AT403" i="1"/>
  <c r="AS403" i="1"/>
  <c r="AT402" i="1"/>
  <c r="AS402" i="1"/>
  <c r="AT401" i="1"/>
  <c r="AS401" i="1"/>
  <c r="AT400" i="1"/>
  <c r="AS400" i="1"/>
  <c r="AT399" i="1"/>
  <c r="AS399" i="1"/>
  <c r="AR399" i="1"/>
  <c r="AT398" i="1"/>
  <c r="AS398" i="1"/>
  <c r="AT397" i="1"/>
  <c r="AS397" i="1"/>
  <c r="AR397" i="1"/>
  <c r="AT396" i="1"/>
  <c r="AS396" i="1"/>
  <c r="AT395" i="1"/>
  <c r="AS395" i="1"/>
  <c r="AT394" i="1"/>
  <c r="AS394" i="1"/>
  <c r="AR394" i="1"/>
  <c r="AT393" i="1"/>
  <c r="AS393" i="1"/>
  <c r="AT392" i="1"/>
  <c r="AS392" i="1"/>
  <c r="AR392" i="1"/>
  <c r="AT391" i="1"/>
  <c r="AS391" i="1"/>
  <c r="AR391" i="1"/>
  <c r="AT390" i="1"/>
  <c r="AS390" i="1"/>
  <c r="AT389" i="1"/>
  <c r="AS389" i="1"/>
  <c r="AR389" i="1"/>
  <c r="AT388" i="1"/>
  <c r="AS388" i="1"/>
  <c r="AR388" i="1"/>
  <c r="AT387" i="1"/>
  <c r="AS387" i="1"/>
  <c r="AR387" i="1"/>
  <c r="AT386" i="1"/>
  <c r="AS386" i="1"/>
  <c r="AR386" i="1"/>
  <c r="AT385" i="1"/>
  <c r="AS385" i="1"/>
  <c r="AT384" i="1"/>
  <c r="AS384" i="1"/>
  <c r="AR384" i="1"/>
  <c r="AT383" i="1"/>
  <c r="AS383" i="1"/>
  <c r="AR383" i="1"/>
  <c r="AT382" i="1"/>
  <c r="AS382" i="1"/>
  <c r="AR382" i="1"/>
  <c r="AT381" i="1"/>
  <c r="AS381" i="1"/>
  <c r="AT380" i="1"/>
  <c r="AS380" i="1"/>
  <c r="AR380" i="1"/>
  <c r="AT379" i="1"/>
  <c r="AS379" i="1"/>
  <c r="AR379" i="1"/>
  <c r="AT378" i="1"/>
  <c r="AS378" i="1"/>
  <c r="AR378" i="1"/>
  <c r="AT377" i="1"/>
  <c r="AS377" i="1"/>
  <c r="AR377" i="1"/>
  <c r="AT376" i="1"/>
  <c r="AS376" i="1"/>
  <c r="AT375" i="1"/>
  <c r="AS375" i="1"/>
  <c r="AT374" i="1"/>
  <c r="AS374" i="1"/>
  <c r="AR374" i="1"/>
  <c r="AT373" i="1"/>
  <c r="AS373" i="1"/>
  <c r="AR373" i="1"/>
  <c r="AT372" i="1"/>
  <c r="AS372" i="1"/>
  <c r="AR372" i="1"/>
  <c r="AT371" i="1"/>
  <c r="AS371" i="1"/>
  <c r="AT370" i="1"/>
  <c r="AS370" i="1"/>
  <c r="AR370" i="1"/>
  <c r="AT369" i="1"/>
  <c r="AS369" i="1"/>
  <c r="AT368" i="1"/>
  <c r="AS368" i="1"/>
  <c r="AR368" i="1"/>
  <c r="AT367" i="1"/>
  <c r="AS367" i="1"/>
  <c r="AR367" i="1"/>
  <c r="AT366" i="1"/>
  <c r="AS366" i="1"/>
  <c r="AR366" i="1"/>
  <c r="AT365" i="1"/>
  <c r="AS365" i="1"/>
  <c r="AR365" i="1"/>
  <c r="AT364" i="1"/>
  <c r="AS364" i="1"/>
  <c r="AR364" i="1"/>
  <c r="AT363" i="1"/>
  <c r="AS363" i="1"/>
  <c r="AR363" i="1"/>
  <c r="AT362" i="1"/>
  <c r="AS362" i="1"/>
  <c r="AR362" i="1"/>
  <c r="AT361" i="1"/>
  <c r="AS361" i="1"/>
  <c r="AR361" i="1"/>
  <c r="AT360" i="1"/>
  <c r="AS360" i="1"/>
  <c r="AR360" i="1"/>
  <c r="AT359" i="1"/>
  <c r="AS359" i="1"/>
  <c r="AR359" i="1"/>
  <c r="AT358" i="1"/>
  <c r="AS358" i="1"/>
  <c r="AR358" i="1"/>
  <c r="AT357" i="1"/>
  <c r="AS357" i="1"/>
  <c r="AR357" i="1"/>
  <c r="AT356" i="1"/>
  <c r="AS356" i="1"/>
  <c r="AR356" i="1"/>
  <c r="AT355" i="1"/>
  <c r="AS355" i="1"/>
  <c r="AR355" i="1"/>
  <c r="AT354" i="1"/>
  <c r="AS354" i="1"/>
  <c r="AR354" i="1"/>
  <c r="AT353" i="1"/>
  <c r="AS353" i="1"/>
  <c r="AR353" i="1"/>
  <c r="AT352" i="1"/>
  <c r="AS352" i="1"/>
  <c r="AR352" i="1"/>
  <c r="AT351" i="1"/>
  <c r="AS351" i="1"/>
  <c r="AR351" i="1"/>
  <c r="AT350" i="1"/>
  <c r="AS350" i="1"/>
  <c r="AR350" i="1"/>
  <c r="AT349" i="1"/>
  <c r="AS349" i="1"/>
  <c r="AT348" i="1"/>
  <c r="AS348" i="1"/>
  <c r="AT347" i="1"/>
  <c r="AS347" i="1"/>
  <c r="AT346" i="1"/>
  <c r="AS346" i="1"/>
  <c r="AR346" i="1"/>
  <c r="AT345" i="1"/>
  <c r="AS345" i="1"/>
  <c r="AR345" i="1"/>
  <c r="AT344" i="1"/>
  <c r="AS344" i="1"/>
  <c r="AT343" i="1"/>
  <c r="AS343" i="1"/>
  <c r="AR343" i="1"/>
  <c r="AT342" i="1"/>
  <c r="AS342" i="1"/>
  <c r="AR342" i="1"/>
  <c r="AT341" i="1"/>
  <c r="AS341" i="1"/>
  <c r="AR341" i="1"/>
  <c r="AT340" i="1"/>
  <c r="AS340" i="1"/>
  <c r="AR340" i="1"/>
  <c r="AT339" i="1"/>
  <c r="AS339" i="1"/>
  <c r="AR339" i="1"/>
  <c r="AT338" i="1"/>
  <c r="AS338" i="1"/>
  <c r="AR338" i="1"/>
  <c r="AT337" i="1"/>
  <c r="AS337" i="1"/>
  <c r="AR337" i="1"/>
  <c r="AT336" i="1"/>
  <c r="AS336" i="1"/>
  <c r="AT335" i="1"/>
  <c r="AS335" i="1"/>
  <c r="AR335" i="1"/>
  <c r="AT334" i="1"/>
  <c r="AS334" i="1"/>
  <c r="AT333" i="1"/>
  <c r="AS333" i="1"/>
  <c r="AT332" i="1"/>
  <c r="AS332" i="1"/>
  <c r="AT331" i="1"/>
  <c r="AS331" i="1"/>
  <c r="AT330" i="1"/>
  <c r="AS330" i="1"/>
  <c r="AR330" i="1"/>
  <c r="AT329" i="1"/>
  <c r="AS329" i="1"/>
  <c r="AT328" i="1"/>
  <c r="AS328" i="1"/>
  <c r="AT327" i="1"/>
  <c r="AS327" i="1"/>
  <c r="AR327" i="1"/>
  <c r="AT326" i="1"/>
  <c r="AS326" i="1"/>
  <c r="AT325" i="1"/>
  <c r="AS325" i="1"/>
  <c r="AT324" i="1"/>
  <c r="AS324" i="1"/>
  <c r="AR324" i="1"/>
  <c r="AT323" i="1"/>
  <c r="AS323" i="1"/>
  <c r="AR323" i="1"/>
  <c r="AT322" i="1"/>
  <c r="AS322" i="1"/>
  <c r="AR322" i="1"/>
  <c r="AT321" i="1"/>
  <c r="AS321" i="1"/>
  <c r="AR321" i="1"/>
  <c r="AT320" i="1"/>
  <c r="AS320" i="1"/>
  <c r="AR320" i="1"/>
  <c r="AT319" i="1"/>
  <c r="AS319" i="1"/>
  <c r="AR319" i="1"/>
  <c r="AT318" i="1"/>
  <c r="AS318" i="1"/>
  <c r="AT317" i="1"/>
  <c r="AS317" i="1"/>
  <c r="AT316" i="1"/>
  <c r="AS316" i="1"/>
  <c r="AR316" i="1"/>
  <c r="AT315" i="1"/>
  <c r="AS315" i="1"/>
  <c r="AT314" i="1"/>
  <c r="AS314" i="1"/>
  <c r="AR314" i="1"/>
  <c r="AT313" i="1"/>
  <c r="AS313" i="1"/>
  <c r="AR313" i="1"/>
  <c r="AT312" i="1"/>
  <c r="AS312" i="1"/>
  <c r="AT311" i="1"/>
  <c r="AS311" i="1"/>
  <c r="AR311" i="1"/>
  <c r="AT310" i="1"/>
  <c r="AS310" i="1"/>
  <c r="AT309" i="1"/>
  <c r="AS309" i="1"/>
  <c r="AR309" i="1"/>
  <c r="AT308" i="1"/>
  <c r="AS308" i="1"/>
  <c r="AR308" i="1"/>
  <c r="AT307" i="1"/>
  <c r="AS307" i="1"/>
  <c r="AR307" i="1"/>
  <c r="AT306" i="1"/>
  <c r="AS306" i="1"/>
  <c r="AR306" i="1"/>
  <c r="AT305" i="1"/>
  <c r="AS305" i="1"/>
  <c r="AR305" i="1"/>
  <c r="AT304" i="1"/>
  <c r="AS304" i="1"/>
  <c r="AT303" i="1"/>
  <c r="AS303" i="1"/>
  <c r="AR303" i="1"/>
  <c r="AT302" i="1"/>
  <c r="AS302" i="1"/>
  <c r="AT301" i="1"/>
  <c r="AS301" i="1"/>
  <c r="AT300" i="1"/>
  <c r="AS300" i="1"/>
  <c r="AT299" i="1"/>
  <c r="AS299" i="1"/>
  <c r="AR299" i="1"/>
  <c r="AT298" i="1"/>
  <c r="AS298" i="1"/>
  <c r="AR298" i="1"/>
  <c r="AT297" i="1"/>
  <c r="AS297" i="1"/>
  <c r="AR297" i="1"/>
  <c r="AT296" i="1"/>
  <c r="AS296" i="1"/>
  <c r="AR296" i="1"/>
  <c r="AT295" i="1"/>
  <c r="AS295" i="1"/>
  <c r="AR295" i="1"/>
  <c r="AT294" i="1"/>
  <c r="AS294" i="1"/>
  <c r="AR294" i="1"/>
  <c r="AT293" i="1"/>
  <c r="AS293" i="1"/>
  <c r="AR293" i="1"/>
  <c r="AT292" i="1"/>
  <c r="AS292" i="1"/>
  <c r="AR292" i="1"/>
  <c r="AT291" i="1"/>
  <c r="AS291" i="1"/>
  <c r="AR291" i="1"/>
  <c r="AT290" i="1"/>
  <c r="AS290" i="1"/>
  <c r="AR290" i="1"/>
  <c r="AT289" i="1"/>
  <c r="AS289" i="1"/>
  <c r="AR289" i="1"/>
  <c r="AT288" i="1"/>
  <c r="AS288" i="1"/>
  <c r="AR288" i="1"/>
  <c r="AT287" i="1"/>
  <c r="AS287" i="1"/>
  <c r="AR287" i="1"/>
  <c r="AT286" i="1"/>
  <c r="AS286" i="1"/>
  <c r="AR286" i="1"/>
  <c r="AT285" i="1"/>
  <c r="AS285" i="1"/>
  <c r="AR285" i="1"/>
  <c r="AT284" i="1"/>
  <c r="AS284" i="1"/>
  <c r="AR284" i="1"/>
  <c r="AT283" i="1"/>
  <c r="AS283" i="1"/>
  <c r="AT282" i="1"/>
  <c r="AS282" i="1"/>
  <c r="AT281" i="1"/>
  <c r="AS281" i="1"/>
  <c r="AR281" i="1"/>
  <c r="AT280" i="1"/>
  <c r="AS280" i="1"/>
  <c r="AR280" i="1"/>
  <c r="AT279" i="1"/>
  <c r="AS279" i="1"/>
  <c r="AT278" i="1"/>
  <c r="AS278" i="1"/>
  <c r="AT277" i="1"/>
  <c r="AS277" i="1"/>
  <c r="AR277" i="1"/>
  <c r="AT276" i="1"/>
  <c r="AS276" i="1"/>
  <c r="AR276" i="1"/>
  <c r="AT275" i="1"/>
  <c r="AS275" i="1"/>
  <c r="AT274" i="1"/>
  <c r="AS274" i="1"/>
  <c r="AR274" i="1"/>
  <c r="AT273" i="1"/>
  <c r="AS273" i="1"/>
  <c r="AT272" i="1"/>
  <c r="AS272" i="1"/>
  <c r="AT271" i="1"/>
  <c r="AS271" i="1"/>
  <c r="AR271" i="1"/>
  <c r="AT270" i="1"/>
  <c r="AS270" i="1"/>
  <c r="AR270" i="1"/>
  <c r="AT269" i="1"/>
  <c r="AS269" i="1"/>
  <c r="AR269" i="1"/>
  <c r="AT268" i="1"/>
  <c r="AS268" i="1"/>
  <c r="AT267" i="1"/>
  <c r="AS267" i="1"/>
  <c r="AT266" i="1"/>
  <c r="AS266" i="1"/>
  <c r="AT265" i="1"/>
  <c r="AS265" i="1"/>
  <c r="AT264" i="1"/>
  <c r="AS264" i="1"/>
  <c r="AT263" i="1"/>
  <c r="AS263" i="1"/>
  <c r="AT262" i="1"/>
  <c r="AS262" i="1"/>
  <c r="AT261" i="1"/>
  <c r="AS261" i="1"/>
  <c r="AR261" i="1"/>
  <c r="AT260" i="1"/>
  <c r="AS260" i="1"/>
  <c r="AR260" i="1"/>
  <c r="AT259" i="1"/>
  <c r="AS259" i="1"/>
  <c r="AR259" i="1"/>
  <c r="AT258" i="1"/>
  <c r="AS258" i="1"/>
  <c r="AR258" i="1"/>
  <c r="AT257" i="1"/>
  <c r="AS257" i="1"/>
  <c r="AT256" i="1"/>
  <c r="AS256" i="1"/>
  <c r="AR256" i="1"/>
  <c r="AT255" i="1"/>
  <c r="AS255" i="1"/>
  <c r="AR255" i="1"/>
  <c r="AT254" i="1"/>
  <c r="AS254" i="1"/>
  <c r="AR254" i="1"/>
  <c r="AT253" i="1"/>
  <c r="AS253" i="1"/>
  <c r="AT252" i="1"/>
  <c r="AS252" i="1"/>
  <c r="AR252" i="1"/>
  <c r="AT251" i="1"/>
  <c r="AS251" i="1"/>
  <c r="AT250" i="1"/>
  <c r="AS250" i="1"/>
  <c r="AR250" i="1"/>
  <c r="AT249" i="1"/>
  <c r="AS249" i="1"/>
  <c r="AR249" i="1"/>
  <c r="AT248" i="1"/>
  <c r="AS248" i="1"/>
  <c r="AR248" i="1"/>
  <c r="AT247" i="1"/>
  <c r="AS247" i="1"/>
  <c r="AT246" i="1"/>
  <c r="AS246" i="1"/>
  <c r="AR246" i="1"/>
  <c r="AT245" i="1"/>
  <c r="AS245" i="1"/>
  <c r="AR245" i="1"/>
  <c r="AT244" i="1"/>
  <c r="AS244" i="1"/>
  <c r="AR244" i="1"/>
  <c r="AT243" i="1"/>
  <c r="AS243" i="1"/>
  <c r="AT242" i="1"/>
  <c r="AS242" i="1"/>
  <c r="AR242" i="1"/>
  <c r="AT241" i="1"/>
  <c r="AS241" i="1"/>
  <c r="AR241" i="1"/>
  <c r="AT240" i="1"/>
  <c r="AS240" i="1"/>
  <c r="AR240" i="1"/>
  <c r="AT239" i="1"/>
  <c r="AS239" i="1"/>
  <c r="AT238" i="1"/>
  <c r="AS238" i="1"/>
  <c r="AR238" i="1"/>
  <c r="AT237" i="1"/>
  <c r="AS237" i="1"/>
  <c r="AT236" i="1"/>
  <c r="AS236" i="1"/>
  <c r="AR236" i="1"/>
  <c r="AT235" i="1"/>
  <c r="AS235" i="1"/>
  <c r="AT234" i="1"/>
  <c r="AS234" i="1"/>
  <c r="AR234" i="1"/>
  <c r="AT233" i="1"/>
  <c r="AS233" i="1"/>
  <c r="AR233" i="1"/>
  <c r="AT232" i="1"/>
  <c r="AS232" i="1"/>
  <c r="AR232" i="1"/>
  <c r="AT231" i="1"/>
  <c r="AS231" i="1"/>
  <c r="AR231" i="1"/>
  <c r="AT230" i="1"/>
  <c r="AS230" i="1"/>
  <c r="AR230" i="1"/>
  <c r="AT229" i="1"/>
  <c r="AS229" i="1"/>
  <c r="AR229" i="1"/>
  <c r="AT228" i="1"/>
  <c r="AS228" i="1"/>
  <c r="AR228" i="1"/>
  <c r="AT227" i="1"/>
  <c r="AS227" i="1"/>
  <c r="AR227" i="1"/>
  <c r="AT226" i="1"/>
  <c r="AS226" i="1"/>
  <c r="AT225" i="1"/>
  <c r="AS225" i="1"/>
  <c r="AR225" i="1"/>
  <c r="AT224" i="1"/>
  <c r="AS224" i="1"/>
  <c r="AR224" i="1"/>
  <c r="AT223" i="1"/>
  <c r="AS223" i="1"/>
  <c r="AT222" i="1"/>
  <c r="AS222" i="1"/>
  <c r="AR222" i="1"/>
  <c r="AT221" i="1"/>
  <c r="AS221" i="1"/>
  <c r="AT220" i="1"/>
  <c r="AS220" i="1"/>
  <c r="AR220" i="1"/>
  <c r="AT219" i="1"/>
  <c r="AS219" i="1"/>
  <c r="AT218" i="1"/>
  <c r="AS218" i="1"/>
  <c r="AT217" i="1"/>
  <c r="AS217" i="1"/>
  <c r="AT216" i="1"/>
  <c r="AS216" i="1"/>
  <c r="AR216" i="1"/>
  <c r="AT215" i="1"/>
  <c r="AS215" i="1"/>
  <c r="AR215" i="1"/>
  <c r="AT214" i="1"/>
  <c r="AS214" i="1"/>
  <c r="AR214" i="1"/>
  <c r="AT213" i="1"/>
  <c r="AS213" i="1"/>
  <c r="AR213" i="1"/>
  <c r="AT212" i="1"/>
  <c r="AS212" i="1"/>
  <c r="AR212" i="1"/>
  <c r="AT211" i="1"/>
  <c r="AS211" i="1"/>
  <c r="AT210" i="1"/>
  <c r="AS210" i="1"/>
  <c r="AR210" i="1"/>
  <c r="AT209" i="1"/>
  <c r="AS209" i="1"/>
  <c r="AR209" i="1"/>
  <c r="AT208" i="1"/>
  <c r="AS208" i="1"/>
  <c r="AR208" i="1"/>
  <c r="AT207" i="1"/>
  <c r="AS207" i="1"/>
  <c r="AR207" i="1"/>
  <c r="AT206" i="1"/>
  <c r="AS206" i="1"/>
  <c r="AR206" i="1"/>
  <c r="AT205" i="1"/>
  <c r="AS205" i="1"/>
  <c r="AT204" i="1"/>
  <c r="AS204" i="1"/>
  <c r="AR204" i="1"/>
  <c r="AT203" i="1"/>
  <c r="AS203" i="1"/>
  <c r="AR203" i="1"/>
  <c r="AT202" i="1"/>
  <c r="AS202" i="1"/>
  <c r="AR202" i="1"/>
  <c r="AT201" i="1"/>
  <c r="AS201" i="1"/>
  <c r="AR201" i="1"/>
  <c r="AT200" i="1"/>
  <c r="AS200" i="1"/>
  <c r="AT199" i="1"/>
  <c r="AS199" i="1"/>
  <c r="AR199" i="1"/>
  <c r="AT198" i="1"/>
  <c r="AS198" i="1"/>
  <c r="AR198" i="1"/>
  <c r="AT197" i="1"/>
  <c r="AS197" i="1"/>
  <c r="AR197" i="1"/>
  <c r="AT196" i="1"/>
  <c r="AS196" i="1"/>
  <c r="AT195" i="1"/>
  <c r="AS195" i="1"/>
  <c r="AT194" i="1"/>
  <c r="AS194" i="1"/>
  <c r="AT193" i="1"/>
  <c r="AS193" i="1"/>
  <c r="AR193" i="1"/>
  <c r="AT192" i="1"/>
  <c r="AS192" i="1"/>
  <c r="AR192" i="1"/>
  <c r="AT191" i="1"/>
  <c r="AS191" i="1"/>
  <c r="AR191" i="1"/>
  <c r="AT190" i="1"/>
  <c r="AS190" i="1"/>
  <c r="AR190" i="1"/>
  <c r="AT189" i="1"/>
  <c r="AS189" i="1"/>
  <c r="AR189" i="1"/>
  <c r="AT188" i="1"/>
  <c r="AS188" i="1"/>
  <c r="AR188" i="1"/>
  <c r="AT187" i="1"/>
  <c r="AS187" i="1"/>
  <c r="AT186" i="1"/>
  <c r="AS186" i="1"/>
  <c r="AR186" i="1"/>
  <c r="AT185" i="1"/>
  <c r="AS185" i="1"/>
  <c r="AR185" i="1"/>
  <c r="AT184" i="1"/>
  <c r="AS184" i="1"/>
  <c r="AR184" i="1"/>
  <c r="AT183" i="1"/>
  <c r="AS183" i="1"/>
  <c r="AT182" i="1"/>
  <c r="AS182" i="1"/>
  <c r="AR182" i="1"/>
  <c r="AT181" i="1"/>
  <c r="AS181" i="1"/>
  <c r="AR181" i="1"/>
  <c r="AT180" i="1"/>
  <c r="AS180" i="1"/>
  <c r="AT179" i="1"/>
  <c r="AS179" i="1"/>
  <c r="AR179" i="1"/>
  <c r="AT178" i="1"/>
  <c r="AS178" i="1"/>
  <c r="AT177" i="1"/>
  <c r="AS177" i="1"/>
  <c r="AT176" i="1"/>
  <c r="AS176" i="1"/>
  <c r="AT175" i="1"/>
  <c r="AS175" i="1"/>
  <c r="AT174" i="1"/>
  <c r="AS174" i="1"/>
  <c r="AR174" i="1"/>
  <c r="AT173" i="1"/>
  <c r="AS173" i="1"/>
  <c r="AT172" i="1"/>
  <c r="AS172" i="1"/>
  <c r="AT171" i="1"/>
  <c r="AS171" i="1"/>
  <c r="AT170" i="1"/>
  <c r="AS170" i="1"/>
  <c r="AR170" i="1"/>
  <c r="AT169" i="1"/>
  <c r="AS169" i="1"/>
  <c r="AR169" i="1"/>
  <c r="AT168" i="1"/>
  <c r="AS168" i="1"/>
  <c r="AT167" i="1"/>
  <c r="AS167" i="1"/>
  <c r="AT166" i="1"/>
  <c r="AS166" i="1"/>
  <c r="AR166" i="1"/>
  <c r="AT165" i="1"/>
  <c r="AS165" i="1"/>
  <c r="AT164" i="1"/>
  <c r="AS164" i="1"/>
  <c r="AT163" i="1"/>
  <c r="AS163" i="1"/>
  <c r="AT162" i="1"/>
  <c r="AS162" i="1"/>
  <c r="AT161" i="1"/>
  <c r="AS161" i="1"/>
  <c r="AR161" i="1"/>
  <c r="AT160" i="1"/>
  <c r="AS160" i="1"/>
  <c r="AR160" i="1"/>
  <c r="AT159" i="1"/>
  <c r="AS159" i="1"/>
  <c r="AR159" i="1"/>
  <c r="AT158" i="1"/>
  <c r="AS158" i="1"/>
  <c r="AR158" i="1"/>
  <c r="AT157" i="1"/>
  <c r="AS157" i="1"/>
  <c r="AT156" i="1"/>
  <c r="AS156" i="1"/>
  <c r="AR156" i="1"/>
  <c r="AT155" i="1"/>
  <c r="AS155" i="1"/>
  <c r="AT154" i="1"/>
  <c r="AS154" i="1"/>
  <c r="AR154" i="1"/>
  <c r="AT153" i="1"/>
  <c r="AS153" i="1"/>
  <c r="AR153" i="1"/>
  <c r="AT152" i="1"/>
  <c r="AS152" i="1"/>
  <c r="AR152" i="1"/>
  <c r="AT151" i="1"/>
  <c r="AS151" i="1"/>
  <c r="AT150" i="1"/>
  <c r="AS150" i="1"/>
  <c r="AR150" i="1"/>
  <c r="AT149" i="1"/>
  <c r="AS149" i="1"/>
  <c r="AR149" i="1"/>
  <c r="AT148" i="1"/>
  <c r="AS148" i="1"/>
  <c r="AT147" i="1"/>
  <c r="AS147" i="1"/>
  <c r="AT146" i="1"/>
  <c r="AS146" i="1"/>
  <c r="AR146" i="1"/>
  <c r="AT145" i="1"/>
  <c r="AS145" i="1"/>
  <c r="AR145" i="1"/>
  <c r="AT144" i="1"/>
  <c r="AS144" i="1"/>
  <c r="AR144" i="1"/>
  <c r="AT143" i="1"/>
  <c r="AS143" i="1"/>
  <c r="AT142" i="1"/>
  <c r="AS142" i="1"/>
  <c r="AR142" i="1"/>
  <c r="AT141" i="1"/>
  <c r="AS141" i="1"/>
  <c r="AR141" i="1"/>
  <c r="AT140" i="1"/>
  <c r="AS140" i="1"/>
  <c r="AT139" i="1"/>
  <c r="AS139" i="1"/>
  <c r="AR139" i="1"/>
  <c r="AT138" i="1"/>
  <c r="AS138" i="1"/>
  <c r="AR138" i="1"/>
  <c r="AT137" i="1"/>
  <c r="AS137" i="1"/>
  <c r="AT136" i="1"/>
  <c r="AS136" i="1"/>
  <c r="AT135" i="1"/>
  <c r="AS135" i="1"/>
  <c r="AT134" i="1"/>
  <c r="AS134" i="1"/>
  <c r="AR134" i="1"/>
  <c r="AT133" i="1"/>
  <c r="AS133" i="1"/>
  <c r="AR133" i="1"/>
  <c r="AT132" i="1"/>
  <c r="AS132" i="1"/>
  <c r="AR132" i="1"/>
  <c r="AT131" i="1"/>
  <c r="AS131" i="1"/>
  <c r="AR131" i="1"/>
  <c r="AT130" i="1"/>
  <c r="AS130" i="1"/>
  <c r="AT129" i="1"/>
  <c r="AS129" i="1"/>
  <c r="AR129" i="1"/>
  <c r="AT128" i="1"/>
  <c r="AS128" i="1"/>
  <c r="AT127" i="1"/>
  <c r="AS127" i="1"/>
  <c r="AR127" i="1"/>
  <c r="AT126" i="1"/>
  <c r="AS126" i="1"/>
  <c r="AR126" i="1"/>
  <c r="AT125" i="1"/>
  <c r="AS125" i="1"/>
  <c r="AR125" i="1"/>
  <c r="AT124" i="1"/>
  <c r="AS124" i="1"/>
  <c r="AR124" i="1"/>
  <c r="AT123" i="1"/>
  <c r="AS123" i="1"/>
  <c r="AT122" i="1"/>
  <c r="AS122" i="1"/>
  <c r="AT121" i="1"/>
  <c r="AS121" i="1"/>
  <c r="AR121" i="1"/>
  <c r="AT120" i="1"/>
  <c r="AS120" i="1"/>
  <c r="AT119" i="1"/>
  <c r="AS119" i="1"/>
  <c r="AT118" i="1"/>
  <c r="AS118" i="1"/>
  <c r="AR118" i="1"/>
  <c r="AT117" i="1"/>
  <c r="AS117" i="1"/>
  <c r="AR117" i="1"/>
  <c r="AT116" i="1"/>
  <c r="AS116" i="1"/>
  <c r="AR116" i="1"/>
  <c r="AT115" i="1"/>
  <c r="AS115" i="1"/>
  <c r="AR115" i="1"/>
  <c r="AT114" i="1"/>
  <c r="AS114" i="1"/>
  <c r="AR114" i="1"/>
  <c r="AT113" i="1"/>
  <c r="AS113" i="1"/>
  <c r="AR113" i="1"/>
  <c r="AT112" i="1"/>
  <c r="AS112" i="1"/>
  <c r="AR112" i="1"/>
  <c r="AT111" i="1"/>
  <c r="AS111" i="1"/>
  <c r="AT110" i="1"/>
  <c r="AS110" i="1"/>
  <c r="AT109" i="1"/>
  <c r="AS109" i="1"/>
  <c r="AT108" i="1"/>
  <c r="AS108" i="1"/>
  <c r="AR108" i="1"/>
  <c r="AT107" i="1"/>
  <c r="AS107" i="1"/>
  <c r="AR107" i="1"/>
  <c r="AT106" i="1"/>
  <c r="AS106" i="1"/>
  <c r="AR106" i="1"/>
  <c r="AT105" i="1"/>
  <c r="AS105" i="1"/>
  <c r="AT104" i="1"/>
  <c r="AS104" i="1"/>
  <c r="AT103" i="1"/>
  <c r="AS103" i="1"/>
  <c r="AR103" i="1"/>
  <c r="AT102" i="1"/>
  <c r="AS102" i="1"/>
  <c r="AR102" i="1"/>
  <c r="AT101" i="1"/>
  <c r="AS101" i="1"/>
  <c r="AT100" i="1"/>
  <c r="AS100" i="1"/>
  <c r="AR100" i="1"/>
  <c r="AT99" i="1"/>
  <c r="AS99" i="1"/>
  <c r="AT98" i="1"/>
  <c r="AS98" i="1"/>
  <c r="AR98" i="1"/>
  <c r="AT97" i="1"/>
  <c r="AS97" i="1"/>
  <c r="AR97" i="1"/>
  <c r="AT96" i="1"/>
  <c r="AS96" i="1"/>
  <c r="AR96" i="1"/>
  <c r="AT95" i="1"/>
  <c r="AS95" i="1"/>
  <c r="AR95" i="1"/>
  <c r="AT94" i="1"/>
  <c r="AS94" i="1"/>
  <c r="AR94" i="1"/>
  <c r="AT93" i="1"/>
  <c r="AS93" i="1"/>
  <c r="AR93" i="1"/>
  <c r="AT92" i="1"/>
  <c r="AS92" i="1"/>
  <c r="AT91" i="1"/>
  <c r="AS91" i="1"/>
  <c r="AR91" i="1"/>
  <c r="AT90" i="1"/>
  <c r="AS90" i="1"/>
  <c r="AR90" i="1"/>
  <c r="AT89" i="1"/>
  <c r="AS89" i="1"/>
  <c r="AT88" i="1"/>
  <c r="AS88" i="1"/>
  <c r="AR88" i="1"/>
  <c r="AT87" i="1"/>
  <c r="AS87" i="1"/>
  <c r="AT86" i="1"/>
  <c r="AS86" i="1"/>
  <c r="AR86" i="1"/>
  <c r="AT85" i="1"/>
  <c r="AS85" i="1"/>
  <c r="AR85" i="1"/>
  <c r="AT84" i="1"/>
  <c r="AS84" i="1"/>
  <c r="AR84" i="1"/>
  <c r="AT83" i="1"/>
  <c r="AS83" i="1"/>
  <c r="AT82" i="1"/>
  <c r="AS82" i="1"/>
  <c r="AT81" i="1"/>
  <c r="AS81" i="1"/>
  <c r="AR81" i="1"/>
  <c r="AT80" i="1"/>
  <c r="AS80" i="1"/>
  <c r="AR80" i="1"/>
  <c r="AT79" i="1"/>
  <c r="AS79" i="1"/>
  <c r="AR79" i="1"/>
  <c r="AT78" i="1"/>
  <c r="AS78" i="1"/>
  <c r="AR78" i="1"/>
  <c r="AT77" i="1"/>
  <c r="AS77" i="1"/>
  <c r="AR77" i="1"/>
  <c r="AT76" i="1"/>
  <c r="AS76" i="1"/>
  <c r="AR76" i="1"/>
  <c r="AT75" i="1"/>
  <c r="AS75" i="1"/>
  <c r="AR75" i="1"/>
  <c r="AT74" i="1"/>
  <c r="AS74" i="1"/>
  <c r="AR74" i="1"/>
  <c r="AT73" i="1"/>
  <c r="AS73" i="1"/>
  <c r="AR73" i="1"/>
  <c r="AT72" i="1"/>
  <c r="AS72" i="1"/>
  <c r="AR72" i="1"/>
  <c r="AT71" i="1"/>
  <c r="AS71" i="1"/>
  <c r="AR71" i="1"/>
  <c r="AT70" i="1"/>
  <c r="AS70" i="1"/>
  <c r="AR70" i="1"/>
  <c r="AT69" i="1"/>
  <c r="AS69" i="1"/>
  <c r="AR69" i="1"/>
  <c r="AT68" i="1"/>
  <c r="AS68" i="1"/>
  <c r="AR68" i="1"/>
  <c r="AT67" i="1"/>
  <c r="AS67" i="1"/>
  <c r="AR67" i="1"/>
  <c r="AT66" i="1"/>
  <c r="AS66" i="1"/>
  <c r="AR66" i="1"/>
  <c r="AT65" i="1"/>
  <c r="AS65" i="1"/>
  <c r="AT64" i="1"/>
  <c r="AS64" i="1"/>
  <c r="AT63" i="1"/>
  <c r="AS63" i="1"/>
  <c r="AR63" i="1"/>
  <c r="AT62" i="1"/>
  <c r="AS62" i="1"/>
  <c r="AR62" i="1"/>
  <c r="AT61" i="1"/>
  <c r="AS61" i="1"/>
  <c r="AR61" i="1"/>
  <c r="AT60" i="1"/>
  <c r="AS60" i="1"/>
  <c r="AR60" i="1"/>
  <c r="AT59" i="1"/>
  <c r="AS59" i="1"/>
  <c r="AR59" i="1"/>
  <c r="AT58" i="1"/>
  <c r="AS58" i="1"/>
  <c r="AR58" i="1"/>
  <c r="AT57" i="1"/>
  <c r="AS57" i="1"/>
  <c r="AR57" i="1"/>
  <c r="AT56" i="1"/>
  <c r="AS56" i="1"/>
  <c r="AT55" i="1"/>
  <c r="AS55" i="1"/>
  <c r="AR55" i="1"/>
  <c r="AT54" i="1"/>
  <c r="AS54" i="1"/>
  <c r="AT53" i="1"/>
  <c r="AS53" i="1"/>
  <c r="AR53" i="1"/>
  <c r="AT52" i="1"/>
  <c r="AS52" i="1"/>
  <c r="AR52" i="1"/>
  <c r="AT51" i="1"/>
  <c r="AS51" i="1"/>
  <c r="AR51" i="1"/>
  <c r="AT50" i="1"/>
  <c r="AS50" i="1"/>
  <c r="AT49" i="1"/>
  <c r="AS49" i="1"/>
  <c r="AR49" i="1"/>
  <c r="AT48" i="1"/>
  <c r="AS48" i="1"/>
  <c r="AT47" i="1"/>
  <c r="AS47" i="1"/>
  <c r="AT46" i="1"/>
  <c r="AS46" i="1"/>
  <c r="AT45" i="1"/>
  <c r="AS45" i="1"/>
  <c r="AT44" i="1"/>
  <c r="AS44" i="1"/>
  <c r="AR44" i="1"/>
  <c r="AT43" i="1"/>
  <c r="AS43" i="1"/>
  <c r="AR43" i="1"/>
  <c r="AT42" i="1"/>
  <c r="AS42" i="1"/>
  <c r="AT41" i="1"/>
  <c r="AS41" i="1"/>
  <c r="AT40" i="1"/>
  <c r="AS40" i="1"/>
  <c r="AR40" i="1"/>
  <c r="AT39" i="1"/>
  <c r="AS39" i="1"/>
  <c r="AR39" i="1"/>
  <c r="AT38" i="1"/>
  <c r="AS38" i="1"/>
  <c r="AR38" i="1"/>
  <c r="AT37" i="1"/>
  <c r="AS37" i="1"/>
  <c r="AR37" i="1"/>
  <c r="AT36" i="1"/>
  <c r="AS36" i="1"/>
  <c r="AT35" i="1"/>
  <c r="AS35" i="1"/>
  <c r="AR35" i="1"/>
  <c r="AT34" i="1"/>
  <c r="AS34" i="1"/>
  <c r="AT33" i="1"/>
  <c r="AS33" i="1"/>
  <c r="AR33" i="1"/>
  <c r="AT32" i="1"/>
  <c r="AS32" i="1"/>
  <c r="AR32" i="1"/>
  <c r="AT31" i="1"/>
  <c r="AS31" i="1"/>
  <c r="AR31" i="1"/>
  <c r="AT30" i="1"/>
  <c r="AS30" i="1"/>
  <c r="AR30" i="1"/>
  <c r="AT29" i="1"/>
  <c r="AS29" i="1"/>
  <c r="AR29" i="1"/>
  <c r="AT28" i="1"/>
  <c r="AS28" i="1"/>
  <c r="AR28" i="1"/>
  <c r="AT27" i="1"/>
  <c r="AS27" i="1"/>
  <c r="AR27" i="1"/>
  <c r="AT26" i="1"/>
  <c r="AS26" i="1"/>
  <c r="AR26" i="1"/>
  <c r="AT25" i="1"/>
  <c r="AS25" i="1"/>
  <c r="AR25" i="1"/>
  <c r="AT24" i="1"/>
  <c r="AS24" i="1"/>
  <c r="AR24" i="1"/>
  <c r="AT23" i="1"/>
  <c r="AS23" i="1"/>
  <c r="AT22" i="1"/>
  <c r="AS22" i="1"/>
  <c r="AR22" i="1"/>
  <c r="AT21" i="1"/>
  <c r="AS21" i="1"/>
  <c r="AR21" i="1"/>
  <c r="AT20" i="1"/>
  <c r="AS20" i="1"/>
  <c r="AR20" i="1"/>
  <c r="AT19" i="1"/>
  <c r="AS19" i="1"/>
  <c r="AR19" i="1"/>
  <c r="AT18" i="1"/>
  <c r="AS18" i="1"/>
  <c r="AR18" i="1"/>
  <c r="AT17" i="1"/>
  <c r="AS17" i="1"/>
  <c r="AR17" i="1"/>
  <c r="AT16" i="1"/>
  <c r="AS16" i="1"/>
  <c r="AR16" i="1"/>
  <c r="AT15" i="1"/>
  <c r="AS15" i="1"/>
  <c r="AR15" i="1"/>
  <c r="AT14" i="1"/>
  <c r="AS14" i="1"/>
  <c r="AR14" i="1"/>
  <c r="AT13" i="1"/>
  <c r="AS13" i="1"/>
  <c r="AR13" i="1"/>
  <c r="AT12" i="1"/>
  <c r="AS12" i="1"/>
  <c r="AR12" i="1"/>
  <c r="AT11" i="1"/>
  <c r="AS11" i="1"/>
  <c r="AR11" i="1"/>
  <c r="AT10" i="1"/>
  <c r="AS10" i="1"/>
  <c r="AR10" i="1"/>
  <c r="AT9" i="1"/>
  <c r="AS9" i="1"/>
  <c r="AR9" i="1"/>
  <c r="AT8" i="1"/>
  <c r="AS8" i="1"/>
  <c r="AR8" i="1"/>
  <c r="AT7" i="1"/>
  <c r="AS7" i="1"/>
  <c r="AR7" i="1"/>
  <c r="AT6" i="1"/>
  <c r="AS6" i="1"/>
  <c r="AR6" i="1"/>
  <c r="AT5" i="1"/>
  <c r="AS5" i="1"/>
  <c r="AR5" i="1"/>
  <c r="AT4" i="1"/>
  <c r="AS4" i="1"/>
  <c r="AR4" i="1"/>
  <c r="AT3" i="1"/>
  <c r="AS3" i="1"/>
  <c r="AR3" i="1"/>
  <c r="AT2" i="1"/>
  <c r="AS2" i="1"/>
  <c r="AR2" i="1"/>
</calcChain>
</file>

<file path=xl/sharedStrings.xml><?xml version="1.0" encoding="utf-8"?>
<sst xmlns="http://schemas.openxmlformats.org/spreadsheetml/2006/main" count="35433" uniqueCount="13587">
  <si>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</si>
  <si>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</si>
  <si>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</si>
  <si>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</si>
  <si>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</si>
  <si>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</si>
  <si>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</si>
  <si>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</si>
  <si>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</si>
  <si>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</si>
  <si>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</si>
  <si>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</si>
  <si>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</si>
  <si>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</si>
  <si>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</si>
  <si>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</si>
  <si>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</si>
  <si>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</si>
  <si>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</si>
  <si>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</si>
  <si>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</si>
  <si>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</si>
  <si>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</si>
  <si>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</si>
  <si>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</si>
  <si>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US Holdings</t>
  </si>
  <si>
    <t>Nebraska Holdings - Same Edition</t>
  </si>
  <si>
    <t>Nebraska Holdings</t>
  </si>
  <si>
    <t>All Comparator Library Holdings - Same Edition</t>
  </si>
  <si>
    <t>All Comparator Library Holdings</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</si>
  <si>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</si>
  <si>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</si>
  <si>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</si>
  <si>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</si>
  <si>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</si>
  <si>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</si>
  <si>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</si>
  <si>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</si>
  <si>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</si>
  <si>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</si>
  <si>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</si>
  <si>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</si>
  <si>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</si>
  <si>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</si>
  <si>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</si>
  <si>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</si>
  <si>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</si>
  <si>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</si>
  <si>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</si>
  <si>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</si>
  <si>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</si>
  <si>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</si>
  <si>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</si>
  <si>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</si>
  <si>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</si>
  <si>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D102 .L41</t>
  </si>
  <si>
    <t>0                      D  0102000L  41</t>
  </si>
  <si>
    <t>Histoire générale du IVe siècle à nos jours / Ouvrage pub. sous la direction de Ernest Lavisse [et] Alfred Rambaud.</t>
  </si>
  <si>
    <t>V.9</t>
  </si>
  <si>
    <t>Yes</t>
  </si>
  <si>
    <t>1</t>
  </si>
  <si>
    <t>No</t>
  </si>
  <si>
    <t>0</t>
  </si>
  <si>
    <t>Lavisse, Ernest, 1842-1922 editor.</t>
  </si>
  <si>
    <t>Paris : A. Colin, 1893-1901.</t>
  </si>
  <si>
    <t>1901</t>
  </si>
  <si>
    <t>fre</t>
  </si>
  <si>
    <t xml:space="preserve">xx </t>
  </si>
  <si>
    <t xml:space="preserve">D  </t>
  </si>
  <si>
    <t>2000-11-12</t>
  </si>
  <si>
    <t>1996-07-25</t>
  </si>
  <si>
    <t>4417331024:fre</t>
  </si>
  <si>
    <t>1526210</t>
  </si>
  <si>
    <t>991003799839702656</t>
  </si>
  <si>
    <t>2258666900002656</t>
  </si>
  <si>
    <t>BOOK</t>
  </si>
  <si>
    <t>32285002245446</t>
  </si>
  <si>
    <t>893794066</t>
  </si>
  <si>
    <t>V.8</t>
  </si>
  <si>
    <t>32285002245438</t>
  </si>
  <si>
    <t>893794067</t>
  </si>
  <si>
    <t>V.6</t>
  </si>
  <si>
    <t>32285002245412</t>
  </si>
  <si>
    <t>893810189</t>
  </si>
  <si>
    <t>V.1</t>
  </si>
  <si>
    <t>32285002245362</t>
  </si>
  <si>
    <t>893806230</t>
  </si>
  <si>
    <t>V.4</t>
  </si>
  <si>
    <t>32285002245396</t>
  </si>
  <si>
    <t>893775208</t>
  </si>
  <si>
    <t>V.3</t>
  </si>
  <si>
    <t>32285002245388</t>
  </si>
  <si>
    <t>893794068</t>
  </si>
  <si>
    <t>V.5</t>
  </si>
  <si>
    <t>32285002245404</t>
  </si>
  <si>
    <t>893787790</t>
  </si>
  <si>
    <t>V.11</t>
  </si>
  <si>
    <t>32285002245461</t>
  </si>
  <si>
    <t>893806231</t>
  </si>
  <si>
    <t>V.7</t>
  </si>
  <si>
    <t>32285002245420</t>
  </si>
  <si>
    <t>893800181</t>
  </si>
  <si>
    <t>V.10</t>
  </si>
  <si>
    <t>32285002245453</t>
  </si>
  <si>
    <t>893806229</t>
  </si>
  <si>
    <t>V.12</t>
  </si>
  <si>
    <t>32285002245479</t>
  </si>
  <si>
    <t>893775209</t>
  </si>
  <si>
    <t>D103 .B55</t>
  </si>
  <si>
    <t>0                      D  0103000B  55</t>
  </si>
  <si>
    <t>The European world : a history / [by] Jerome Blum, Rondo Cameron [and] Thomas G. Barnes.</t>
  </si>
  <si>
    <t>Blum, Jerome, 1913-1993.</t>
  </si>
  <si>
    <t>Boston : Little, Brown, [1966]</t>
  </si>
  <si>
    <t>1966</t>
  </si>
  <si>
    <t>eng</t>
  </si>
  <si>
    <t>mau</t>
  </si>
  <si>
    <t>1995-02-27</t>
  </si>
  <si>
    <t>1990-02-12</t>
  </si>
  <si>
    <t>180558766:eng</t>
  </si>
  <si>
    <t>711861</t>
  </si>
  <si>
    <t>991003181559702656</t>
  </si>
  <si>
    <t>2261911720002656</t>
  </si>
  <si>
    <t>32285000041482</t>
  </si>
  <si>
    <t>893342300</t>
  </si>
  <si>
    <t>D103 .E5</t>
  </si>
  <si>
    <t>0                      D  0103000E  5</t>
  </si>
  <si>
    <t>Modern times and the living past, by Henry W. Elson ...</t>
  </si>
  <si>
    <t>Elson, Henry W. (Henry William), 1857-1935.</t>
  </si>
  <si>
    <t>New York, Cincinnati [etc.] American book company [c1921]</t>
  </si>
  <si>
    <t>1921</t>
  </si>
  <si>
    <t>1997-04-07</t>
  </si>
  <si>
    <t>1996-08-29</t>
  </si>
  <si>
    <t>2316355:eng</t>
  </si>
  <si>
    <t>1383384</t>
  </si>
  <si>
    <t>991003731729702656</t>
  </si>
  <si>
    <t>2263979670002656</t>
  </si>
  <si>
    <t>32285002297744</t>
  </si>
  <si>
    <t>893429139</t>
  </si>
  <si>
    <t>D103 .R66 1924</t>
  </si>
  <si>
    <t>0                      D  0103000R  66          1924</t>
  </si>
  <si>
    <t>An introduction to the history of western Europe.</t>
  </si>
  <si>
    <t>V.2</t>
  </si>
  <si>
    <t>Robinson, James Harvey, 1863-1936.</t>
  </si>
  <si>
    <t>Boston, New York, Ginn and Company [c1924-26]</t>
  </si>
  <si>
    <t>1924</t>
  </si>
  <si>
    <t>Completely rev. and enl. ed.</t>
  </si>
  <si>
    <t>1997-06-23</t>
  </si>
  <si>
    <t>1491765:eng</t>
  </si>
  <si>
    <t>392265</t>
  </si>
  <si>
    <t>991002663639702656</t>
  </si>
  <si>
    <t>2263537030002656</t>
  </si>
  <si>
    <t>32285002297827</t>
  </si>
  <si>
    <t>893792750</t>
  </si>
  <si>
    <t>32285002297819</t>
  </si>
  <si>
    <t>893798844</t>
  </si>
  <si>
    <t>D103 .R67</t>
  </si>
  <si>
    <t>0                      D  0103000R  67</t>
  </si>
  <si>
    <t>Outlines of European history, by James Robinson, Charles A. Beard and James Henry Breasted.</t>
  </si>
  <si>
    <t>Boston, Ginn [c1914]</t>
  </si>
  <si>
    <t>1914</t>
  </si>
  <si>
    <t>___</t>
  </si>
  <si>
    <t>1995-07-17</t>
  </si>
  <si>
    <t>1992-06-29</t>
  </si>
  <si>
    <t>1808748:eng</t>
  </si>
  <si>
    <t>645050</t>
  </si>
  <si>
    <t>991003095289702656</t>
  </si>
  <si>
    <t>2261699200002656</t>
  </si>
  <si>
    <t>32285001169324</t>
  </si>
  <si>
    <t>893518140</t>
  </si>
  <si>
    <t>D103 .R67 PT. 2</t>
  </si>
  <si>
    <t>0                      D  0103000R  67                                                      PT. 2</t>
  </si>
  <si>
    <t>PT. 2*</t>
  </si>
  <si>
    <t>32285001169332</t>
  </si>
  <si>
    <t>893511557</t>
  </si>
  <si>
    <t>D103 .R68</t>
  </si>
  <si>
    <t>0                      D  0103000R  68</t>
  </si>
  <si>
    <t>Readings in European history; a collection of extracts from the sources chosen with the purpose of illustrating the progress of culture in western Europe since the German invasions, by James Harvey Robinson.</t>
  </si>
  <si>
    <t>Boston, New York, [etc.] Ginn &amp; company [c1904-06]</t>
  </si>
  <si>
    <t>1904</t>
  </si>
  <si>
    <t>4757634233:eng</t>
  </si>
  <si>
    <t>394439</t>
  </si>
  <si>
    <t>991002668809702656</t>
  </si>
  <si>
    <t>2260044580002656</t>
  </si>
  <si>
    <t>32285002297843</t>
  </si>
  <si>
    <t>893710536</t>
  </si>
  <si>
    <t>32285002297850</t>
  </si>
  <si>
    <t>893698082</t>
  </si>
  <si>
    <t>D104 .C5</t>
  </si>
  <si>
    <t>0                      D  0104000C  5</t>
  </si>
  <si>
    <t>The nationalities of Europe and the growth of national ideologies, by H. Munro Chadwick...</t>
  </si>
  <si>
    <t>Chadwick, H. Munro (Hector Munro), 1870-1947.</t>
  </si>
  <si>
    <t>Cambridge [Eng.], The University Press, 1966, 1945.</t>
  </si>
  <si>
    <t>enk</t>
  </si>
  <si>
    <t>1997-12-08</t>
  </si>
  <si>
    <t>477273:eng</t>
  </si>
  <si>
    <t>4524471</t>
  </si>
  <si>
    <t>991004673629702656</t>
  </si>
  <si>
    <t>2271200090002656</t>
  </si>
  <si>
    <t>32285002297942</t>
  </si>
  <si>
    <t>893795144</t>
  </si>
  <si>
    <t>D104 .M45 1984</t>
  </si>
  <si>
    <t>0                      D  0104000M  45          1984</t>
  </si>
  <si>
    <t>Peace in the Western world / by Matthew Melko and John Hord ; Stanley A. Marcum, cartographer.</t>
  </si>
  <si>
    <t>Melko, Matthew.</t>
  </si>
  <si>
    <t>Jefferson, N.C. : McFarland, c1984.</t>
  </si>
  <si>
    <t>1984</t>
  </si>
  <si>
    <t>ncu</t>
  </si>
  <si>
    <t>1995-02-14</t>
  </si>
  <si>
    <t>3729492:eng</t>
  </si>
  <si>
    <t>10948497</t>
  </si>
  <si>
    <t>991000462199702656</t>
  </si>
  <si>
    <t>2272756560002656</t>
  </si>
  <si>
    <t>9780899501208</t>
  </si>
  <si>
    <t>32285001169340</t>
  </si>
  <si>
    <t>893714609</t>
  </si>
  <si>
    <t>D1050.8 .Q47 2002</t>
  </si>
  <si>
    <t>0                      D  1050800Q  47          2002</t>
  </si>
  <si>
    <t>Before and after the Cold War : using past forecasts to predict the future / George H. Quester.</t>
  </si>
  <si>
    <t>Quester, George H.</t>
  </si>
  <si>
    <t>London ; Portland, OR : F. Cass, 2002.</t>
  </si>
  <si>
    <t>2002</t>
  </si>
  <si>
    <t>2005-02-14</t>
  </si>
  <si>
    <t>1036401:eng</t>
  </si>
  <si>
    <t>48248914</t>
  </si>
  <si>
    <t>991004347759702656</t>
  </si>
  <si>
    <t>2262332560002656</t>
  </si>
  <si>
    <t>9780714652290</t>
  </si>
  <si>
    <t>32285005026264</t>
  </si>
  <si>
    <t>893436181</t>
  </si>
  <si>
    <t>D1055 .B27 1983</t>
  </si>
  <si>
    <t>0                      D  1055000B  27          1983</t>
  </si>
  <si>
    <t>The Europeans / Luigi Barzini.</t>
  </si>
  <si>
    <t>Barzini, Luigi Giorgio, 1908-1984.</t>
  </si>
  <si>
    <t>New York : Simon and Schuster, c1983.</t>
  </si>
  <si>
    <t>1983</t>
  </si>
  <si>
    <t>nyu</t>
  </si>
  <si>
    <t>1995-10-30</t>
  </si>
  <si>
    <t>1990-02-20</t>
  </si>
  <si>
    <t>21021967:eng</t>
  </si>
  <si>
    <t>9111142</t>
  </si>
  <si>
    <t>991000130669702656</t>
  </si>
  <si>
    <t>2266604650002656</t>
  </si>
  <si>
    <t>9780671245788</t>
  </si>
  <si>
    <t>32285000047752</t>
  </si>
  <si>
    <t>893327051</t>
  </si>
  <si>
    <t>D1055 .E82 1993</t>
  </si>
  <si>
    <t>0                      D  1055000E  82          1993</t>
  </si>
  <si>
    <t>European identity and the search for legitimacy / edited by Soledad García.</t>
  </si>
  <si>
    <t>London ; New York : Pinter Publishers for the Eleni Nakou Foundation and the Royal Institute of International Affairs, London ; New York, NY, USA : Distributed exclusively in the USA and Canada by St. Martin's Press, 1993.</t>
  </si>
  <si>
    <t>1993</t>
  </si>
  <si>
    <t>2003-09-05</t>
  </si>
  <si>
    <t>1994-05-19</t>
  </si>
  <si>
    <t>347514416:eng</t>
  </si>
  <si>
    <t>27897113</t>
  </si>
  <si>
    <t>991005416799702656</t>
  </si>
  <si>
    <t>2260519280002656</t>
  </si>
  <si>
    <t>9781855671423</t>
  </si>
  <si>
    <t>32285001897437</t>
  </si>
  <si>
    <t>893230665</t>
  </si>
  <si>
    <t>D1055 .M59 1982</t>
  </si>
  <si>
    <t>0                      D  1055000M  59          1982</t>
  </si>
  <si>
    <t>Modern European intellectual history : reappraisals and new perspectives / edited by Dominick LaCapra and Steven L. Kaplan.</t>
  </si>
  <si>
    <t>Ithaca : Cornell University Press, 1982.</t>
  </si>
  <si>
    <t>1982</t>
  </si>
  <si>
    <t>1996-04-09</t>
  </si>
  <si>
    <t>1990-09-21</t>
  </si>
  <si>
    <t>1117881353:eng</t>
  </si>
  <si>
    <t>8430938</t>
  </si>
  <si>
    <t>991005242589702656</t>
  </si>
  <si>
    <t>2261276730002656</t>
  </si>
  <si>
    <t>9780801414701</t>
  </si>
  <si>
    <t>32285000259290</t>
  </si>
  <si>
    <t>893902357</t>
  </si>
  <si>
    <t>D1056 .I49 1993</t>
  </si>
  <si>
    <t>0                      D  1056000I  49          1993</t>
  </si>
  <si>
    <t>Inside European identities : ethnography in Western Europe / edited by Sharon Macdonald.</t>
  </si>
  <si>
    <t>Oxford [England] ; Providence : Berg ; New York : Distributed exclusively in the US and Canada by St. Martin's Press, 1993.</t>
  </si>
  <si>
    <t>Ethnicity and identity</t>
  </si>
  <si>
    <t>1995-11-16</t>
  </si>
  <si>
    <t>1993-08-12</t>
  </si>
  <si>
    <t>806673808:eng</t>
  </si>
  <si>
    <t>25831986</t>
  </si>
  <si>
    <t>991002028679702656</t>
  </si>
  <si>
    <t>2262296180002656</t>
  </si>
  <si>
    <t>9780854967230</t>
  </si>
  <si>
    <t>32285001726149</t>
  </si>
  <si>
    <t>893503938</t>
  </si>
  <si>
    <t>D1056 .N37</t>
  </si>
  <si>
    <t>0                      D  1056000N  37</t>
  </si>
  <si>
    <t>Nations without a State : ethnic minorities in Western Europe / edited by Charles R. Foster.</t>
  </si>
  <si>
    <t>New York, N.Y. : Praeger, 1980.</t>
  </si>
  <si>
    <t>1980</t>
  </si>
  <si>
    <t>1993-03-01</t>
  </si>
  <si>
    <t>889825054:eng</t>
  </si>
  <si>
    <t>6648925</t>
  </si>
  <si>
    <t>991005020219702656</t>
  </si>
  <si>
    <t>2268399590002656</t>
  </si>
  <si>
    <t>9780030568077</t>
  </si>
  <si>
    <t>32285000259308</t>
  </si>
  <si>
    <t>893242081</t>
  </si>
  <si>
    <t>D1058 .B7</t>
  </si>
  <si>
    <t>0                      D  1058000B  7</t>
  </si>
  <si>
    <t>Alternative to partition; for a broader conception of America's role in Europe [by] Zbigniew Brzezinski.</t>
  </si>
  <si>
    <t>Brzezinski, Zbigniew, 1928-2017.</t>
  </si>
  <si>
    <t>New York, McGraw-Hill [1965]</t>
  </si>
  <si>
    <t>1965</t>
  </si>
  <si>
    <t>[1st ed.]</t>
  </si>
  <si>
    <t>Atlantic policy studies</t>
  </si>
  <si>
    <t>2004-02-17</t>
  </si>
  <si>
    <t>1996-09-19</t>
  </si>
  <si>
    <t>1336395:eng</t>
  </si>
  <si>
    <t>250297</t>
  </si>
  <si>
    <t>991001935159702656</t>
  </si>
  <si>
    <t>2266921960002656</t>
  </si>
  <si>
    <t>32285002335775</t>
  </si>
  <si>
    <t>893250627</t>
  </si>
  <si>
    <t>D1058 .G7313</t>
  </si>
  <si>
    <t>0                      D  1058000G  7313</t>
  </si>
  <si>
    <t>The Western alliance : European-American relations since 1945 / Alfred Grosser ; translated by Michael Shaw ; with a foreword by Stanley Hoffmann.</t>
  </si>
  <si>
    <t>Grosser, Alfred, 1925-</t>
  </si>
  <si>
    <t>New York : Continuum, 1980.</t>
  </si>
  <si>
    <t>1991-10-24</t>
  </si>
  <si>
    <t>2908435618:eng</t>
  </si>
  <si>
    <t>5726577</t>
  </si>
  <si>
    <t>991004864959702656</t>
  </si>
  <si>
    <t>2263252260002656</t>
  </si>
  <si>
    <t>9780826400048</t>
  </si>
  <si>
    <t>32285000653906</t>
  </si>
  <si>
    <t>893713143</t>
  </si>
  <si>
    <t>D1058 .H54 1987</t>
  </si>
  <si>
    <t>0                      D  1058000H  54          1987</t>
  </si>
  <si>
    <t>Janus and Minerva : essays in the theory and practice of international politics / Stanley Hoffmann.</t>
  </si>
  <si>
    <t>Hoffmann, Stanley.</t>
  </si>
  <si>
    <t>Boulder : Westview Press, 1987.</t>
  </si>
  <si>
    <t>1987</t>
  </si>
  <si>
    <t>cou</t>
  </si>
  <si>
    <t>1994-09-10</t>
  </si>
  <si>
    <t>1990-02-09</t>
  </si>
  <si>
    <t>476586069:eng</t>
  </si>
  <si>
    <t>13666052</t>
  </si>
  <si>
    <t>991000857329702656</t>
  </si>
  <si>
    <t>2269847180002656</t>
  </si>
  <si>
    <t>9780813303901</t>
  </si>
  <si>
    <t>32285000034438</t>
  </si>
  <si>
    <t>893249745</t>
  </si>
  <si>
    <t>D1058 .L25</t>
  </si>
  <si>
    <t>0                      D  1058000L  25</t>
  </si>
  <si>
    <t>A continent astray : Europe, 1970-1978 / Walter Laqueur.</t>
  </si>
  <si>
    <t>Laqueur, Walter, 1921-2018.</t>
  </si>
  <si>
    <t>New York : Oxford University Press, 1979.</t>
  </si>
  <si>
    <t>1979</t>
  </si>
  <si>
    <t>761191261:eng</t>
  </si>
  <si>
    <t>4211205</t>
  </si>
  <si>
    <t>991004610479702656</t>
  </si>
  <si>
    <t>2256532990002656</t>
  </si>
  <si>
    <t>9780195025101</t>
  </si>
  <si>
    <t>32285000259340</t>
  </si>
  <si>
    <t>893810592</t>
  </si>
  <si>
    <t>D1058 .L88 1979</t>
  </si>
  <si>
    <t>0                      D  1058000L  88          1979</t>
  </si>
  <si>
    <t>Europe since World War II : the big change / Norman Luxenburg.</t>
  </si>
  <si>
    <t>Luxenburg, Norman, 1927-2011.</t>
  </si>
  <si>
    <t>Carbondale : Southern Illinois University Press, c1979.</t>
  </si>
  <si>
    <t>Rev. ed., enl.</t>
  </si>
  <si>
    <t>ilu</t>
  </si>
  <si>
    <t>1997-04-22</t>
  </si>
  <si>
    <t>1990-06-22</t>
  </si>
  <si>
    <t>1029286825:eng</t>
  </si>
  <si>
    <t>4494487</t>
  </si>
  <si>
    <t>991004652989702656</t>
  </si>
  <si>
    <t>2267621900002656</t>
  </si>
  <si>
    <t>9780809309115</t>
  </si>
  <si>
    <t>32285000212406</t>
  </si>
  <si>
    <t>893344090</t>
  </si>
  <si>
    <t>D1058 .N88 2000</t>
  </si>
  <si>
    <t>0                      D  1058000N  88          2000</t>
  </si>
  <si>
    <t>European foreign policy / Simon J. Nuttall.</t>
  </si>
  <si>
    <t>Nuttall, Simon J.</t>
  </si>
  <si>
    <t>Oxford ; New York : Oxford University Press, 2000.</t>
  </si>
  <si>
    <t>2000</t>
  </si>
  <si>
    <t>2003-11-04</t>
  </si>
  <si>
    <t>2003-09-26</t>
  </si>
  <si>
    <t>43313593:eng</t>
  </si>
  <si>
    <t>43701865</t>
  </si>
  <si>
    <t>991004137739702656</t>
  </si>
  <si>
    <t>2271651260002656</t>
  </si>
  <si>
    <t>9780198293361</t>
  </si>
  <si>
    <t>32285004793203</t>
  </si>
  <si>
    <t>893228972</t>
  </si>
  <si>
    <t>D1058 .P338 1987</t>
  </si>
  <si>
    <t>0                      D  1058000P  338         1987</t>
  </si>
  <si>
    <t>Europe without America? : the crisis in Atlantic relations / John Palmer.</t>
  </si>
  <si>
    <t>Palmer, John, 1930-</t>
  </si>
  <si>
    <t>Oxford ; New York : Oxford University Press, 1987.</t>
  </si>
  <si>
    <t>1995-11-14</t>
  </si>
  <si>
    <t>196556191:eng</t>
  </si>
  <si>
    <t>16225376</t>
  </si>
  <si>
    <t>991001092089702656</t>
  </si>
  <si>
    <t>2267901830002656</t>
  </si>
  <si>
    <t>9780192158949</t>
  </si>
  <si>
    <t>32285000047802</t>
  </si>
  <si>
    <t>893784801</t>
  </si>
  <si>
    <t>D1058 .R64 1995</t>
  </si>
  <si>
    <t>0                      D  1058000R  64          1995</t>
  </si>
  <si>
    <t>Jacques Delors and European integration / George Ross.</t>
  </si>
  <si>
    <t>Ross, George, 1940-</t>
  </si>
  <si>
    <t>New York : Oxford University Press, 1995.</t>
  </si>
  <si>
    <t>1995</t>
  </si>
  <si>
    <t>Europe and the international order</t>
  </si>
  <si>
    <t>2005-09-13</t>
  </si>
  <si>
    <t>1996-12-12</t>
  </si>
  <si>
    <t>33216526:eng</t>
  </si>
  <si>
    <t>31132312</t>
  </si>
  <si>
    <t>991005419659702656</t>
  </si>
  <si>
    <t>2271405410002656</t>
  </si>
  <si>
    <t>9780195210385</t>
  </si>
  <si>
    <t>32285002392818</t>
  </si>
  <si>
    <t>893425136</t>
  </si>
  <si>
    <t>D1060 .A28 1998</t>
  </si>
  <si>
    <t>0                      D  1060000A  28          1998</t>
  </si>
  <si>
    <t>Adapting to European integration : small states and the European Union / edited by Kenneth Hanf and Ben Soetendorp.</t>
  </si>
  <si>
    <t>London ; New York : Longman, 1998.</t>
  </si>
  <si>
    <t>1998</t>
  </si>
  <si>
    <t>1998-07-16</t>
  </si>
  <si>
    <t>836924927:eng</t>
  </si>
  <si>
    <t>36629976</t>
  </si>
  <si>
    <t>991005426039702656</t>
  </si>
  <si>
    <t>2263573970002656</t>
  </si>
  <si>
    <t>9780582286993</t>
  </si>
  <si>
    <t>32285003432787</t>
  </si>
  <si>
    <t>893230683</t>
  </si>
  <si>
    <t>D1060 .H44 1990</t>
  </si>
  <si>
    <t>0                      D  1060000H  44          1990</t>
  </si>
  <si>
    <t>European Community : idea and reality : an introduction to the history of European Community / Robert W. Heywood.</t>
  </si>
  <si>
    <t>Heywood, Robert W.</t>
  </si>
  <si>
    <t>San Francisco : EM Text, c1990.</t>
  </si>
  <si>
    <t>1990</t>
  </si>
  <si>
    <t>cau</t>
  </si>
  <si>
    <t>2004-08-16</t>
  </si>
  <si>
    <t>807739189:eng</t>
  </si>
  <si>
    <t>21973778</t>
  </si>
  <si>
    <t>991004346619702656</t>
  </si>
  <si>
    <t>2266630920002656</t>
  </si>
  <si>
    <t>9780773498921</t>
  </si>
  <si>
    <t>32285004981386</t>
  </si>
  <si>
    <t>893700117</t>
  </si>
  <si>
    <t>D1060 .S6 1999</t>
  </si>
  <si>
    <t>0                      D  1060000S  6           1999</t>
  </si>
  <si>
    <t>Foreign policy in the European Union : theory, history and practice / Ben Soetendorp.</t>
  </si>
  <si>
    <t>Soetendorp, R. B.</t>
  </si>
  <si>
    <t>London ; New York : Longman, 1999.</t>
  </si>
  <si>
    <t>1999</t>
  </si>
  <si>
    <t>2002-10-27</t>
  </si>
  <si>
    <t>1999-08-26</t>
  </si>
  <si>
    <t>795192538:eng</t>
  </si>
  <si>
    <t>40631634</t>
  </si>
  <si>
    <t>991002999959702656</t>
  </si>
  <si>
    <t>2261876460002656</t>
  </si>
  <si>
    <t>9780582328938</t>
  </si>
  <si>
    <t>32285003584876</t>
  </si>
  <si>
    <t>893774277</t>
  </si>
  <si>
    <t>D1060 .V37</t>
  </si>
  <si>
    <t>0                      D  1060000V  37</t>
  </si>
  <si>
    <t>Twentieth-century Europe : paths to unity / Richard Vaughan.</t>
  </si>
  <si>
    <t>Vaughan, Richard, 1927-2014.</t>
  </si>
  <si>
    <t>London : Croom Helm ; New York : Barnes &amp; Noble Books, 1979.</t>
  </si>
  <si>
    <t>1978</t>
  </si>
  <si>
    <t>2001-01-24</t>
  </si>
  <si>
    <t>351137059:eng</t>
  </si>
  <si>
    <t>4194422</t>
  </si>
  <si>
    <t>991004605759702656</t>
  </si>
  <si>
    <t>2262494290002656</t>
  </si>
  <si>
    <t>9780064971720</t>
  </si>
  <si>
    <t>32285000259381</t>
  </si>
  <si>
    <t>893782420</t>
  </si>
  <si>
    <t>D1065.E85 S65 2000</t>
  </si>
  <si>
    <t>0                      D  1065000E  85                 S  65          2000</t>
  </si>
  <si>
    <t>NATO enlargement during the Cold War : strategy and system in the Western alliance / Mark Smith.</t>
  </si>
  <si>
    <t>Smith, Mark, 1965 July 1-</t>
  </si>
  <si>
    <t>Houndmills, Basingstoke, Hampshire ; New York : Palgrave, 2000.</t>
  </si>
  <si>
    <t>Cold War history series</t>
  </si>
  <si>
    <t>2002-04-29</t>
  </si>
  <si>
    <t>2002-04-17</t>
  </si>
  <si>
    <t>797140971:eng</t>
  </si>
  <si>
    <t>44039456</t>
  </si>
  <si>
    <t>991003689149702656</t>
  </si>
  <si>
    <t>2267656290002656</t>
  </si>
  <si>
    <t>9780312236069</t>
  </si>
  <si>
    <t>32285004480694</t>
  </si>
  <si>
    <t>893800028</t>
  </si>
  <si>
    <t>D1065.G7 B45 1996</t>
  </si>
  <si>
    <t>0                      D  1065000G  7                  B  45          1996</t>
  </si>
  <si>
    <t>Britain and European union : dialogue of the deaf / Lord Beloff.</t>
  </si>
  <si>
    <t>Beloff, Max, 1913-1999.</t>
  </si>
  <si>
    <t>Great Britain : Macmillan Press Ltd. ; New York : St. Martin's Press, 1996.</t>
  </si>
  <si>
    <t>1996</t>
  </si>
  <si>
    <t>2001-03-04</t>
  </si>
  <si>
    <t>1998-10-21</t>
  </si>
  <si>
    <t>479102059:eng</t>
  </si>
  <si>
    <t>34318739</t>
  </si>
  <si>
    <t>991002617369702656</t>
  </si>
  <si>
    <t>2268380330002656</t>
  </si>
  <si>
    <t>9780312161576</t>
  </si>
  <si>
    <t>32285003476149</t>
  </si>
  <si>
    <t>893251442</t>
  </si>
  <si>
    <t>D1065.G7 F45 2002</t>
  </si>
  <si>
    <t>0                      D  1065000G  7                  F  45          2002</t>
  </si>
  <si>
    <t>New Labour and the European Union : political strategy, policy transition and the Amsterdam Treaty negotiation / Stefano Fella.</t>
  </si>
  <si>
    <t>Fella, Stefano.</t>
  </si>
  <si>
    <t>Aldershot, England ; Burlington, VT : Ashgate, c2002.</t>
  </si>
  <si>
    <t>2005-03-16</t>
  </si>
  <si>
    <t>2003-09-23</t>
  </si>
  <si>
    <t>945484:eng</t>
  </si>
  <si>
    <t>50525412</t>
  </si>
  <si>
    <t>991004132849702656</t>
  </si>
  <si>
    <t>2258841140002656</t>
  </si>
  <si>
    <t>9780754630876</t>
  </si>
  <si>
    <t>32285004789797</t>
  </si>
  <si>
    <t>893506449</t>
  </si>
  <si>
    <t>D1065.G7 M375 1999</t>
  </si>
  <si>
    <t>0                      D  1065000G  7                  M  375         1999</t>
  </si>
  <si>
    <t>Britain and Europe since 1945 / Alex May.</t>
  </si>
  <si>
    <t>May, Alex (Alex Charles)</t>
  </si>
  <si>
    <t>Seminar studies in history</t>
  </si>
  <si>
    <t>1999-08-03</t>
  </si>
  <si>
    <t>1980793:eng</t>
  </si>
  <si>
    <t>39442771</t>
  </si>
  <si>
    <t>991002955409702656</t>
  </si>
  <si>
    <t>2256994900002656</t>
  </si>
  <si>
    <t>9780582307780</t>
  </si>
  <si>
    <t>32285003579959</t>
  </si>
  <si>
    <t>893799217</t>
  </si>
  <si>
    <t>D1065.M628 A44 1997</t>
  </si>
  <si>
    <t>0                      D  1065000M  628                A  44          1997</t>
  </si>
  <si>
    <t>Allies divided : transatlantic policies for the greater Middle East / editors, Robert D. Blackwill, Michael Stürmer.</t>
  </si>
  <si>
    <t>Cambridge, Mass. : MIT Press, c1997.</t>
  </si>
  <si>
    <t>1997</t>
  </si>
  <si>
    <t>CSIA studies in international security</t>
  </si>
  <si>
    <t>1998-02-11</t>
  </si>
  <si>
    <t>1997-12-23</t>
  </si>
  <si>
    <t>836961567:eng</t>
  </si>
  <si>
    <t>36969778</t>
  </si>
  <si>
    <t>991002814689702656</t>
  </si>
  <si>
    <t>2271044780002656</t>
  </si>
  <si>
    <t>9780262522441</t>
  </si>
  <si>
    <t>32285003284196</t>
  </si>
  <si>
    <t>893530509</t>
  </si>
  <si>
    <t>D1065.S65 M35 1989</t>
  </si>
  <si>
    <t>0                      D  1065000S  65                 M  35          1989</t>
  </si>
  <si>
    <t>Soviet policy perspectives on western Europe / Neil Malcolm.</t>
  </si>
  <si>
    <t>Malcolm, Neil, 1943-</t>
  </si>
  <si>
    <t>New York : Published in North America for the Royal Institute of International Affairs [by the] Council on Foreign Relations Press, c1989.</t>
  </si>
  <si>
    <t>1989</t>
  </si>
  <si>
    <t>Chatham House papers</t>
  </si>
  <si>
    <t>1999-06-29</t>
  </si>
  <si>
    <t>1990-08-06</t>
  </si>
  <si>
    <t>21454803:eng</t>
  </si>
  <si>
    <t>19722388</t>
  </si>
  <si>
    <t>991001490369702656</t>
  </si>
  <si>
    <t>2256438240002656</t>
  </si>
  <si>
    <t>9780876090664</t>
  </si>
  <si>
    <t>32285000023845</t>
  </si>
  <si>
    <t>893232022</t>
  </si>
  <si>
    <t>D1065.S65 S694 1984</t>
  </si>
  <si>
    <t>0                      D  1065000S  65                 S  694         1984</t>
  </si>
  <si>
    <t>Soviet strategy toward Western Europe / edited by Edwina Moreton, Gerald Segal.</t>
  </si>
  <si>
    <t>London ; Boston : Allen &amp; Unwin, 1984.</t>
  </si>
  <si>
    <t>54594716:eng</t>
  </si>
  <si>
    <t>9893822</t>
  </si>
  <si>
    <t>991000274239702656</t>
  </si>
  <si>
    <t>2265657480002656</t>
  </si>
  <si>
    <t>9780043303375</t>
  </si>
  <si>
    <t>32285000259449</t>
  </si>
  <si>
    <t>893508659</t>
  </si>
  <si>
    <t>D1065.S65 V36 1986</t>
  </si>
  <si>
    <t>0                      D  1065000S  65                 V  36          1986</t>
  </si>
  <si>
    <t>Soviet policy toward western Europe : objectives, instruments, results / John Van Oudenaren.</t>
  </si>
  <si>
    <t>Van Oudenaren, John.</t>
  </si>
  <si>
    <t>Santa Monica, CA : Rand, [1986]</t>
  </si>
  <si>
    <t>1986</t>
  </si>
  <si>
    <t>5729374:eng</t>
  </si>
  <si>
    <t>12693654</t>
  </si>
  <si>
    <t>991000724699702656</t>
  </si>
  <si>
    <t>2256852470002656</t>
  </si>
  <si>
    <t>9780833006783</t>
  </si>
  <si>
    <t>32285000653914</t>
  </si>
  <si>
    <t>893708647</t>
  </si>
  <si>
    <t>D1065.T8 T87 1993</t>
  </si>
  <si>
    <t>0                      D  1065000T  8                  T  87          1993</t>
  </si>
  <si>
    <t>Turkey and Europe / edited by Canan Balkır and Allan M. Williams.</t>
  </si>
  <si>
    <t>London ; New York : Pinter Publishers ; New York, NY, USA : Distributed exclusively in the USA and Canada by St. Martin's Press, 1993.</t>
  </si>
  <si>
    <t>2002-11-06</t>
  </si>
  <si>
    <t>1993-08-24</t>
  </si>
  <si>
    <t>365444593:eng</t>
  </si>
  <si>
    <t>27143758</t>
  </si>
  <si>
    <t>991002116829702656</t>
  </si>
  <si>
    <t>2271794210002656</t>
  </si>
  <si>
    <t>9781855670129</t>
  </si>
  <si>
    <t>32285001727980</t>
  </si>
  <si>
    <t>893334955</t>
  </si>
  <si>
    <t>D1065.U5 C73 1992</t>
  </si>
  <si>
    <t>0                      D  1065000U  5                  C  73          1992</t>
  </si>
  <si>
    <t>The United States and the European pillar : the strained alliance / William C. Cromwell.</t>
  </si>
  <si>
    <t>Cromwell, William C.</t>
  </si>
  <si>
    <t>New York : St. Martin's Press, 1992.</t>
  </si>
  <si>
    <t>1992</t>
  </si>
  <si>
    <t>1996-07-18</t>
  </si>
  <si>
    <t>1992-06-16</t>
  </si>
  <si>
    <t>20723968:eng</t>
  </si>
  <si>
    <t>24287810</t>
  </si>
  <si>
    <t>991001923759702656</t>
  </si>
  <si>
    <t>2270861430002656</t>
  </si>
  <si>
    <t>9780312068318</t>
  </si>
  <si>
    <t>32285001129203</t>
  </si>
  <si>
    <t>893444862</t>
  </si>
  <si>
    <t>D1065.U5 I5 1992</t>
  </si>
  <si>
    <t>0                      D  1065000U  5                  I  5           1992</t>
  </si>
  <si>
    <t>In search of a new world order : the future of U.S.-European relations / Henry Brandon, editor.</t>
  </si>
  <si>
    <t>Washington, D.C. : Brookings Institution, 1992.</t>
  </si>
  <si>
    <t>dcu</t>
  </si>
  <si>
    <t>1998-05-14</t>
  </si>
  <si>
    <t>1992-06-30</t>
  </si>
  <si>
    <t>898335681:eng</t>
  </si>
  <si>
    <t>25628837</t>
  </si>
  <si>
    <t>991002012909702656</t>
  </si>
  <si>
    <t>2263434040002656</t>
  </si>
  <si>
    <t>9780815710585</t>
  </si>
  <si>
    <t>32285001167120</t>
  </si>
  <si>
    <t>893427109</t>
  </si>
  <si>
    <t>D1065.U5 P388 1997</t>
  </si>
  <si>
    <t>0                      D  1065000U  5                  P  388         1997</t>
  </si>
  <si>
    <t>Not like us : how Europeans have loved, hated, and transformed American culture since World War II / Richard Pells.</t>
  </si>
  <si>
    <t>Pells, Richard H.</t>
  </si>
  <si>
    <t>New York : BasicBooks, c1997.</t>
  </si>
  <si>
    <t>1st ed.</t>
  </si>
  <si>
    <t>1998-04-30</t>
  </si>
  <si>
    <t>1997-05-09</t>
  </si>
  <si>
    <t>864043274:eng</t>
  </si>
  <si>
    <t>35262462</t>
  </si>
  <si>
    <t>991002701089702656</t>
  </si>
  <si>
    <t>2264227580002656</t>
  </si>
  <si>
    <t>9780465001644</t>
  </si>
  <si>
    <t>32285002606712</t>
  </si>
  <si>
    <t>893710570</t>
  </si>
  <si>
    <t>D1065.U5 S39 1997</t>
  </si>
  <si>
    <t>0                      D  1065000U  5                  S  39          1997</t>
  </si>
  <si>
    <t>Stay the course : European unity and Atlantic solidarity / Simon Serfaty ; foreword by Alexander M. Haig, Jr.</t>
  </si>
  <si>
    <t>Serfaty, Simon.</t>
  </si>
  <si>
    <t>Westport, Conn. : Praeger, 1997.</t>
  </si>
  <si>
    <t>ctu</t>
  </si>
  <si>
    <t>The Washington papers ; 171</t>
  </si>
  <si>
    <t>1998-11-10</t>
  </si>
  <si>
    <t>1998-05-12</t>
  </si>
  <si>
    <t>837056271:eng</t>
  </si>
  <si>
    <t>36135907</t>
  </si>
  <si>
    <t>991002755149702656</t>
  </si>
  <si>
    <t>2263432900002656</t>
  </si>
  <si>
    <t>9780275959326</t>
  </si>
  <si>
    <t>32285003408191</t>
  </si>
  <si>
    <t>893809652</t>
  </si>
  <si>
    <t>D1065.U5 S65 1984</t>
  </si>
  <si>
    <t>0                      D  1065000U  5                  S  65          1984</t>
  </si>
  <si>
    <t>Western Europe and the United States : the uncertain alliance / Michael Smith.</t>
  </si>
  <si>
    <t>Smith, Michael, 1947 April 10-</t>
  </si>
  <si>
    <t>[London] : University Association for Contemporary European Studies ; London ; Boston : Allen &amp; Unwin, 1984.</t>
  </si>
  <si>
    <t>Studies on contemporary Europe ; 6</t>
  </si>
  <si>
    <t>2005-10-21</t>
  </si>
  <si>
    <t>1090887674:eng</t>
  </si>
  <si>
    <t>10723401</t>
  </si>
  <si>
    <t>991000414009702656</t>
  </si>
  <si>
    <t>2255702540002656</t>
  </si>
  <si>
    <t>9780043270721</t>
  </si>
  <si>
    <t>32285000259522</t>
  </si>
  <si>
    <t>893865329</t>
  </si>
  <si>
    <t>D109 .F72 1989</t>
  </si>
  <si>
    <t>0                      D  0109000F  72          1989</t>
  </si>
  <si>
    <t>The warrior queens / Antonia Fraser.</t>
  </si>
  <si>
    <t>Fraser, Antonia, 1932-</t>
  </si>
  <si>
    <t>New York : Knopf, 1989, c1988.</t>
  </si>
  <si>
    <t>1st American ed.</t>
  </si>
  <si>
    <t>1994-11-22</t>
  </si>
  <si>
    <t>6163304:eng</t>
  </si>
  <si>
    <t>18714941</t>
  </si>
  <si>
    <t>991001384109702656</t>
  </si>
  <si>
    <t>2265978750002656</t>
  </si>
  <si>
    <t>9780394549392</t>
  </si>
  <si>
    <t>32285001169373</t>
  </si>
  <si>
    <t>893256212</t>
  </si>
  <si>
    <t>D11 .W59 1987</t>
  </si>
  <si>
    <t>0                      D  0011000W  59          1987</t>
  </si>
  <si>
    <t>The measure of times past : pre-Newtonian chronologies and the rhetoric of relative time / Donald J. Wilcox.</t>
  </si>
  <si>
    <t>Wilcox, Donald J.</t>
  </si>
  <si>
    <t>Chicago : University of Chicago Press, c1987.</t>
  </si>
  <si>
    <t>1998-03-25</t>
  </si>
  <si>
    <t>1991-02-22</t>
  </si>
  <si>
    <t>795456163:eng</t>
  </si>
  <si>
    <t>16859976</t>
  </si>
  <si>
    <t>991001156379702656</t>
  </si>
  <si>
    <t>2257727280002656</t>
  </si>
  <si>
    <t>9780226897226</t>
  </si>
  <si>
    <t>32285000492461</t>
  </si>
  <si>
    <t>893803391</t>
  </si>
  <si>
    <t>D113 .F75 1967</t>
  </si>
  <si>
    <t>0                      D  0113000F  75          1967</t>
  </si>
  <si>
    <t>The chronicle of Froissart / translated out of French by John Bourchier, Lord Berners. With an introd. by William Paton Ker.</t>
  </si>
  <si>
    <t>Froissart, Jean, 1338?-1410?.</t>
  </si>
  <si>
    <t>New York : AMS Press, 1967.</t>
  </si>
  <si>
    <t>1967</t>
  </si>
  <si>
    <t>1993-04-29</t>
  </si>
  <si>
    <t>1992-07-01</t>
  </si>
  <si>
    <t>1100393:eng</t>
  </si>
  <si>
    <t>378970</t>
  </si>
  <si>
    <t>991002614369702656</t>
  </si>
  <si>
    <t>2264276990002656</t>
  </si>
  <si>
    <t>32285001185429</t>
  </si>
  <si>
    <t>893510974</t>
  </si>
  <si>
    <t>32285001185452</t>
  </si>
  <si>
    <t>893510972</t>
  </si>
  <si>
    <t>32285001185478</t>
  </si>
  <si>
    <t>893510971</t>
  </si>
  <si>
    <t>32285001185437</t>
  </si>
  <si>
    <t>893510973</t>
  </si>
  <si>
    <t>32285001185460</t>
  </si>
  <si>
    <t>893530237</t>
  </si>
  <si>
    <t>D113 .F91</t>
  </si>
  <si>
    <t>0                      D  0113000F  91</t>
  </si>
  <si>
    <t>The boy's Froissart : being Sir John Froissart's Chronicles of adventure, battle, and custom in England, France, Spain, etc. / ed. for boys with an introduction by Sidney Lanier. Illustrated by Alfred Kappes.</t>
  </si>
  <si>
    <t>New-York : C. Scribner's sons, 1879.</t>
  </si>
  <si>
    <t>1879</t>
  </si>
  <si>
    <t>2004-01-20</t>
  </si>
  <si>
    <t>1992-04-24</t>
  </si>
  <si>
    <t>4917463456:eng</t>
  </si>
  <si>
    <t>270763</t>
  </si>
  <si>
    <t>991002142609702656</t>
  </si>
  <si>
    <t>2263777670002656</t>
  </si>
  <si>
    <t>32285001086965</t>
  </si>
  <si>
    <t>893879541</t>
  </si>
  <si>
    <t>D113.F9 A55 1990</t>
  </si>
  <si>
    <t>0                      D  0113000F  9                  A  55          1990</t>
  </si>
  <si>
    <t>Jean Froissart and the fabric of history : truth, myth, and fiction in the Chroniques / by Peter F. Ainsworth.</t>
  </si>
  <si>
    <t>Ainsworth, Peter F.</t>
  </si>
  <si>
    <t>Oxford : Clarendon Press ; New York : Oxford University Press, 1990.</t>
  </si>
  <si>
    <t>1991-05-31</t>
  </si>
  <si>
    <t>347363825:eng</t>
  </si>
  <si>
    <t>21524643</t>
  </si>
  <si>
    <t>991001702019702656</t>
  </si>
  <si>
    <t>2256775330002656</t>
  </si>
  <si>
    <t>9780198158646</t>
  </si>
  <si>
    <t>32285000590637</t>
  </si>
  <si>
    <t>893891763</t>
  </si>
  <si>
    <t>D115 .F5 1971</t>
  </si>
  <si>
    <t>0                      D  0115000F  5           1971</t>
  </si>
  <si>
    <t>Who's who in the Middle Ages.</t>
  </si>
  <si>
    <t>Fines, John.</t>
  </si>
  <si>
    <t>New York : Stein and Day, [1971, c1970]</t>
  </si>
  <si>
    <t>1971</t>
  </si>
  <si>
    <t>2004-11-03</t>
  </si>
  <si>
    <t>1993-12-02</t>
  </si>
  <si>
    <t>473228:eng</t>
  </si>
  <si>
    <t>297912</t>
  </si>
  <si>
    <t>991002248269702656</t>
  </si>
  <si>
    <t>2264916930002656</t>
  </si>
  <si>
    <t>9780812813395</t>
  </si>
  <si>
    <t>32285001805653</t>
  </si>
  <si>
    <t>893335090</t>
  </si>
  <si>
    <t>D116 .S6 1975</t>
  </si>
  <si>
    <t>0                      D  0116000S  6           1975</t>
  </si>
  <si>
    <t>Historians in the Middle Ages / Beryl Smalley.</t>
  </si>
  <si>
    <t>Smalley, Beryl.</t>
  </si>
  <si>
    <t>New York : Scribner, [1975] c1974.</t>
  </si>
  <si>
    <t>1975</t>
  </si>
  <si>
    <t>1997-09-13</t>
  </si>
  <si>
    <t>1987896:eng</t>
  </si>
  <si>
    <t>1241848</t>
  </si>
  <si>
    <t>991003643389702656</t>
  </si>
  <si>
    <t>2261014250002656</t>
  </si>
  <si>
    <t>9780684141213</t>
  </si>
  <si>
    <t>32285002298171</t>
  </si>
  <si>
    <t>893686765</t>
  </si>
  <si>
    <t>D116 .V78</t>
  </si>
  <si>
    <t>0                      D  0116000V  78</t>
  </si>
  <si>
    <t>Readings in medieval historiography, edited by Speros Vryonis, Jr.</t>
  </si>
  <si>
    <t>Vryonis, Speros, 1928- compiler.</t>
  </si>
  <si>
    <t>Boston, Houghton Mifflin [1968]</t>
  </si>
  <si>
    <t>1968</t>
  </si>
  <si>
    <t>1333724:eng</t>
  </si>
  <si>
    <t>224362</t>
  </si>
  <si>
    <t>991001373909702656</t>
  </si>
  <si>
    <t>2264256290002656</t>
  </si>
  <si>
    <t>32285002298189</t>
  </si>
  <si>
    <t>893238075</t>
  </si>
  <si>
    <t>D116.7.F73 A3 1988</t>
  </si>
  <si>
    <t>0                      D  0116700F  73                 A  3           1988</t>
  </si>
  <si>
    <t>A life of learning / John Hope Franklin.</t>
  </si>
  <si>
    <t>Franklin, John Hope, 1915-2009.</t>
  </si>
  <si>
    <t>[Washington, D.C.] : American Council of Learned Societies, [1988]</t>
  </si>
  <si>
    <t>1988</t>
  </si>
  <si>
    <t>ACLS occasional paper ; no. 4</t>
  </si>
  <si>
    <t>1996-03-14</t>
  </si>
  <si>
    <t>221930805:eng</t>
  </si>
  <si>
    <t>22321812</t>
  </si>
  <si>
    <t>991001337479702656</t>
  </si>
  <si>
    <t>2266529720002656</t>
  </si>
  <si>
    <t>32285001185494</t>
  </si>
  <si>
    <t>893602525</t>
  </si>
  <si>
    <t>D117 .C3</t>
  </si>
  <si>
    <t>0                      D  0117000C  3</t>
  </si>
  <si>
    <t>The Cambridge medieval history / planned by J. B. Bury, edited by H. M. Gwatkin [and] J. P. Whitney.</t>
  </si>
  <si>
    <t>New York : Macmillan, 1911-36.</t>
  </si>
  <si>
    <t>1911</t>
  </si>
  <si>
    <t>2003-03-06</t>
  </si>
  <si>
    <t>1993-05-12</t>
  </si>
  <si>
    <t>4535542939:eng</t>
  </si>
  <si>
    <t>14739796</t>
  </si>
  <si>
    <t>991005357799702656</t>
  </si>
  <si>
    <t>2257852950002656</t>
  </si>
  <si>
    <t>32285001634939</t>
  </si>
  <si>
    <t>893607254</t>
  </si>
  <si>
    <t>32285001651966</t>
  </si>
  <si>
    <t>893601042</t>
  </si>
  <si>
    <t>32285001651974</t>
  </si>
  <si>
    <t>893601041</t>
  </si>
  <si>
    <t>32285001651990</t>
  </si>
  <si>
    <t>893601044</t>
  </si>
  <si>
    <t>32285001651933</t>
  </si>
  <si>
    <t>893625875</t>
  </si>
  <si>
    <t>32285001651982</t>
  </si>
  <si>
    <t>893601045</t>
  </si>
  <si>
    <t>32285001652006</t>
  </si>
  <si>
    <t>893601043</t>
  </si>
  <si>
    <t>32285001651941</t>
  </si>
  <si>
    <t>893607253</t>
  </si>
  <si>
    <t>D117 .H189</t>
  </si>
  <si>
    <t>0                      D  0117000H  189</t>
  </si>
  <si>
    <t>History of Europe during the middle ages, by Henry Hallam; with a special introduction by Arthur Richmond Marsh.</t>
  </si>
  <si>
    <t>Hallam, Henry, 1777-1859.</t>
  </si>
  <si>
    <t>New York, The Colonial press [1899]</t>
  </si>
  <si>
    <t>1899</t>
  </si>
  <si>
    <t>Rev. ed.</t>
  </si>
  <si>
    <t>The world's great classics</t>
  </si>
  <si>
    <t>2002-07-16</t>
  </si>
  <si>
    <t>4451761372:eng</t>
  </si>
  <si>
    <t>643445</t>
  </si>
  <si>
    <t>991003093279702656</t>
  </si>
  <si>
    <t>2258238600002656</t>
  </si>
  <si>
    <t>32285002298254</t>
  </si>
  <si>
    <t>893799383</t>
  </si>
  <si>
    <t>32285002298247</t>
  </si>
  <si>
    <t>893805417</t>
  </si>
  <si>
    <t>32285002298262</t>
  </si>
  <si>
    <t>893786958</t>
  </si>
  <si>
    <t>D117 .H8 1938</t>
  </si>
  <si>
    <t>0                      D  0117000H  8           1938</t>
  </si>
  <si>
    <t>The middle ages / by Edward Maslin Hulme.</t>
  </si>
  <si>
    <t>Hulme, Edward Maslin, 1871-1951.</t>
  </si>
  <si>
    <t>New York : H. Holt and company, [c1938]</t>
  </si>
  <si>
    <t>1938</t>
  </si>
  <si>
    <t>American historical series</t>
  </si>
  <si>
    <t>1992-03-24</t>
  </si>
  <si>
    <t>255580283:eng</t>
  </si>
  <si>
    <t>718397</t>
  </si>
  <si>
    <t>991003193449702656</t>
  </si>
  <si>
    <t>2256396330002656</t>
  </si>
  <si>
    <t>32285001027431</t>
  </si>
  <si>
    <t>893317729</t>
  </si>
  <si>
    <t>D117 .P5213 1958</t>
  </si>
  <si>
    <t>0                      D  0117000P  5213        1958</t>
  </si>
  <si>
    <t>A history of Europe / Henri Pirenne ; with an introd. by Jan-Albert Goris ; [translated by Bernard Miall].</t>
  </si>
  <si>
    <t>Pirenne, Henri, 1862-1935.</t>
  </si>
  <si>
    <t>Garden City, N.Y. : Doubleday, 1958.</t>
  </si>
  <si>
    <t>1958</t>
  </si>
  <si>
    <t>Doubleday anchor books ; A156a-b</t>
  </si>
  <si>
    <t>2001-08-28</t>
  </si>
  <si>
    <t>9438415184:eng</t>
  </si>
  <si>
    <t>4318126</t>
  </si>
  <si>
    <t>991003613359702656</t>
  </si>
  <si>
    <t>2271698640002656</t>
  </si>
  <si>
    <t>32285004382049</t>
  </si>
  <si>
    <t>893592687</t>
  </si>
  <si>
    <t>D117 .T6 1970</t>
  </si>
  <si>
    <t>0                      D  0117000T  6           1970</t>
  </si>
  <si>
    <t>Western Europe in the Middle Ages, 300-1475 / [by] Brian Tierney [and] Sidney Painter.</t>
  </si>
  <si>
    <t>Tierney, Brian.</t>
  </si>
  <si>
    <t>New York : Knopf, [1970]</t>
  </si>
  <si>
    <t>1970</t>
  </si>
  <si>
    <t>2004-11-10</t>
  </si>
  <si>
    <t>1990-05-24</t>
  </si>
  <si>
    <t>1190402:eng</t>
  </si>
  <si>
    <t>56839</t>
  </si>
  <si>
    <t>991000137009702656</t>
  </si>
  <si>
    <t>2261360930002656</t>
  </si>
  <si>
    <t>32285000164748</t>
  </si>
  <si>
    <t>893601494</t>
  </si>
  <si>
    <t>D118 .H5 1966</t>
  </si>
  <si>
    <t>0                      D  0118000H  5           1966</t>
  </si>
  <si>
    <t>The medieval world, by V. M. Hillyer and E. G. Huey.</t>
  </si>
  <si>
    <t>Hillyer, V. M. (Virgil Mores), 1875-1931.</t>
  </si>
  <si>
    <t>New York, Meredith Press [1966]</t>
  </si>
  <si>
    <t>New ed. designed and rev. by Childrens Press, Chicago. Consultants: William T. Nichol [and] John R. Lee.</t>
  </si>
  <si>
    <t>Young people's story of our heritage</t>
  </si>
  <si>
    <t>1996-10-21</t>
  </si>
  <si>
    <t>1992-09-08</t>
  </si>
  <si>
    <t>1660496:eng</t>
  </si>
  <si>
    <t>711784</t>
  </si>
  <si>
    <t>991004161489702656</t>
  </si>
  <si>
    <t>2261849780002656</t>
  </si>
  <si>
    <t>32285001295962</t>
  </si>
  <si>
    <t>893588571</t>
  </si>
  <si>
    <t>D118 .H65</t>
  </si>
  <si>
    <t>0                      D  0118000H  65</t>
  </si>
  <si>
    <t>Life and thought in the early Middle Ages / edited by Robert S. Hoyt.</t>
  </si>
  <si>
    <t>Hoyt, Robert S. (Robert Stuart)</t>
  </si>
  <si>
    <t>Minneapolis : University of Minnesota Press, c1967.</t>
  </si>
  <si>
    <t>mnu</t>
  </si>
  <si>
    <t>Minnesota paperbacks ; MP 11</t>
  </si>
  <si>
    <t>2005-11-16</t>
  </si>
  <si>
    <t>1992-04-01</t>
  </si>
  <si>
    <t>766019923:eng</t>
  </si>
  <si>
    <t>8694271</t>
  </si>
  <si>
    <t>991000053429702656</t>
  </si>
  <si>
    <t>2262905800002656</t>
  </si>
  <si>
    <t>32285001031516</t>
  </si>
  <si>
    <t>893607573</t>
  </si>
  <si>
    <t>D119 .M68 1970</t>
  </si>
  <si>
    <t>0                      D  0119000M  68          1970</t>
  </si>
  <si>
    <t>The medieval imprint : the founding of the Western European tradition / [by] John B. Morrall.</t>
  </si>
  <si>
    <t>Morrall, John B.</t>
  </si>
  <si>
    <t>Harmondsworth : Penguin, 1970.</t>
  </si>
  <si>
    <t>Pelican books</t>
  </si>
  <si>
    <t>2001-05-03</t>
  </si>
  <si>
    <t>1320169:eng</t>
  </si>
  <si>
    <t>96056</t>
  </si>
  <si>
    <t>991005353099702656</t>
  </si>
  <si>
    <t>2271266400002656</t>
  </si>
  <si>
    <t>9780140211351</t>
  </si>
  <si>
    <t>32285000041490</t>
  </si>
  <si>
    <t>893431293</t>
  </si>
  <si>
    <t>D119 .P72 1950</t>
  </si>
  <si>
    <t>0                      D  0119000P  72          1950</t>
  </si>
  <si>
    <t>Ways of medieval life and thought, essays and addresses.</t>
  </si>
  <si>
    <t>Powicke, F. M. (Frederick Maurice), 1879-1963.</t>
  </si>
  <si>
    <t>London, Odhams Press [1950]</t>
  </si>
  <si>
    <t>1950</t>
  </si>
  <si>
    <t>1406947:eng</t>
  </si>
  <si>
    <t>896003</t>
  </si>
  <si>
    <t>991003359809702656</t>
  </si>
  <si>
    <t>2261408300002656</t>
  </si>
  <si>
    <t>32285002298577</t>
  </si>
  <si>
    <t>893874698</t>
  </si>
  <si>
    <t>D119 .S5</t>
  </si>
  <si>
    <t>0                      D  0119000S  5</t>
  </si>
  <si>
    <t>The middle ages, sketches and fragments, by Thomas J. Shahan.</t>
  </si>
  <si>
    <t>Shahan, Thomas J. (Thomas Joseph), 1857-1932.</t>
  </si>
  <si>
    <t>New York, Cincinnati [etc.] Benziger brothers, 1904.</t>
  </si>
  <si>
    <t>1997-09-17</t>
  </si>
  <si>
    <t>21744564:eng</t>
  </si>
  <si>
    <t>3545761</t>
  </si>
  <si>
    <t>991004461909702656</t>
  </si>
  <si>
    <t>2263108290002656</t>
  </si>
  <si>
    <t>32285002298585</t>
  </si>
  <si>
    <t>893599861</t>
  </si>
  <si>
    <t>D121 .O5 1919</t>
  </si>
  <si>
    <t>0                      D  0121000O  5           1919</t>
  </si>
  <si>
    <t>The Dark Ages, 476-918.</t>
  </si>
  <si>
    <t>Oman, Charles, 1860-1946.</t>
  </si>
  <si>
    <t>London, Rivingtons, 1919.</t>
  </si>
  <si>
    <t>1919</t>
  </si>
  <si>
    <t>6th edition.</t>
  </si>
  <si>
    <t>Periods of European history ; period 1</t>
  </si>
  <si>
    <t>1999-12-04</t>
  </si>
  <si>
    <t>144761298:eng</t>
  </si>
  <si>
    <t>5453155</t>
  </si>
  <si>
    <t>991004836709702656</t>
  </si>
  <si>
    <t>2272299850002656</t>
  </si>
  <si>
    <t>32285002298643</t>
  </si>
  <si>
    <t>893600290</t>
  </si>
  <si>
    <t>D121 .W3 1967</t>
  </si>
  <si>
    <t>0                      D  0121000W  3           1967</t>
  </si>
  <si>
    <t>The barbarian West, 400-1000 [by] J.M. Wallace-Hadrill.</t>
  </si>
  <si>
    <t>Wallace-Hadrill, J. M. (John Michael)</t>
  </si>
  <si>
    <t>London, Hutchinson, 1967.</t>
  </si>
  <si>
    <t>3rd (revised) ed.</t>
  </si>
  <si>
    <t>Hutchinson university library. History</t>
  </si>
  <si>
    <t>2003-02-10</t>
  </si>
  <si>
    <t>5603015660:eng</t>
  </si>
  <si>
    <t>1188317</t>
  </si>
  <si>
    <t>991003607379702656</t>
  </si>
  <si>
    <t>2265679560002656</t>
  </si>
  <si>
    <t>32285002298676</t>
  </si>
  <si>
    <t>893512141</t>
  </si>
  <si>
    <t>D121 .W32 1996</t>
  </si>
  <si>
    <t>0                      D  0121000W  32          1996</t>
  </si>
  <si>
    <t>The barbarian West, 400-1000 / J.M. Wallace-Hadrill.</t>
  </si>
  <si>
    <t>Oxford ; Cambridge, Mass. : Blackwell, 1996.</t>
  </si>
  <si>
    <t>1999-10-13</t>
  </si>
  <si>
    <t>1996-12-30</t>
  </si>
  <si>
    <t>35172586</t>
  </si>
  <si>
    <t>991002692889702656</t>
  </si>
  <si>
    <t>2272743980002656</t>
  </si>
  <si>
    <t>9780631202929</t>
  </si>
  <si>
    <t>32285002403987</t>
  </si>
  <si>
    <t>893445308</t>
  </si>
  <si>
    <t>D123 .D8</t>
  </si>
  <si>
    <t>0                      D  0123000D  8</t>
  </si>
  <si>
    <t>Death and life in the tenth century, by Eleanor Duckett.</t>
  </si>
  <si>
    <t>Duckett, Eleanor Shipley.</t>
  </si>
  <si>
    <t>Ann Arbor, University of Michigan Press [1967]</t>
  </si>
  <si>
    <t>miu</t>
  </si>
  <si>
    <t>1353346:eng</t>
  </si>
  <si>
    <t>192172</t>
  </si>
  <si>
    <t>991001206319702656</t>
  </si>
  <si>
    <t>2258516450002656</t>
  </si>
  <si>
    <t>32285002298684</t>
  </si>
  <si>
    <t>893534472</t>
  </si>
  <si>
    <t>D123 .F613</t>
  </si>
  <si>
    <t>0                      D  0123000F  613</t>
  </si>
  <si>
    <t>The year 1000 / Henri Focillon; translated by Fred D. Wieck.</t>
  </si>
  <si>
    <t>Focillon, Henri, 1881-1943.</t>
  </si>
  <si>
    <t>New York : F. Ungar Pub. Co., 1969.</t>
  </si>
  <si>
    <t>1999-05-24</t>
  </si>
  <si>
    <t>28433413:eng</t>
  </si>
  <si>
    <t>49387</t>
  </si>
  <si>
    <t>991000117789702656</t>
  </si>
  <si>
    <t>2263551820002656</t>
  </si>
  <si>
    <t>9780804412957</t>
  </si>
  <si>
    <t>32285001185577</t>
  </si>
  <si>
    <t>893595298</t>
  </si>
  <si>
    <t>D127 .B7</t>
  </si>
  <si>
    <t>0                      D  0127000B  7</t>
  </si>
  <si>
    <t>From Dante to Jeanne d'Arc : adventures in medieval life and letters / by Katherine Brégy, LITT. D.</t>
  </si>
  <si>
    <t>Brégy, Katherine Marie Cornelia, 1888-1967.</t>
  </si>
  <si>
    <t>Milwaukee : Bruce, [c1933]</t>
  </si>
  <si>
    <t>1933</t>
  </si>
  <si>
    <t>wiu</t>
  </si>
  <si>
    <t>1994-12-14</t>
  </si>
  <si>
    <t>151050098:eng</t>
  </si>
  <si>
    <t>2170791</t>
  </si>
  <si>
    <t>991004036199702656</t>
  </si>
  <si>
    <t>2262086400002656</t>
  </si>
  <si>
    <t>32285001982767</t>
  </si>
  <si>
    <t>893693443</t>
  </si>
  <si>
    <t>D127 .C6 1930</t>
  </si>
  <si>
    <t>0                      D  0127000C  6           1930</t>
  </si>
  <si>
    <t>Life in the middle ages / selected, translated &amp; annotated by G. G. Coulton.</t>
  </si>
  <si>
    <t>Coulton, G. G. (George Gordon), 1858-1947.</t>
  </si>
  <si>
    <t>New York : The Macmillan Company ; Cambridge, (Eng.) : The University Press, 1930.</t>
  </si>
  <si>
    <t>1930</t>
  </si>
  <si>
    <t>The Cambridge anthologies</t>
  </si>
  <si>
    <t>1997-12-02</t>
  </si>
  <si>
    <t>3372934366:eng</t>
  </si>
  <si>
    <t>807170</t>
  </si>
  <si>
    <t>991003285309702656</t>
  </si>
  <si>
    <t>2268759740002656</t>
  </si>
  <si>
    <t>32285000041508</t>
  </si>
  <si>
    <t>893887317</t>
  </si>
  <si>
    <t>D128 .L4</t>
  </si>
  <si>
    <t>0                      D  0128000L  4</t>
  </si>
  <si>
    <t>Naval power and trade in the Mediterranean, A.D. 500-1100.</t>
  </si>
  <si>
    <t>Lewis, Archibald R. (Archibald Ross), 1914-1990.</t>
  </si>
  <si>
    <t>Princeton, Princeton University Press, 1951.</t>
  </si>
  <si>
    <t>1951</t>
  </si>
  <si>
    <t>Princeton studies in history ; 5</t>
  </si>
  <si>
    <t>1997-12-03</t>
  </si>
  <si>
    <t>141374450:eng</t>
  </si>
  <si>
    <t>718425</t>
  </si>
  <si>
    <t>991003193509702656</t>
  </si>
  <si>
    <t>2256384710002656</t>
  </si>
  <si>
    <t>32285002298726</t>
  </si>
  <si>
    <t>893428521</t>
  </si>
  <si>
    <t>D13 .B334 1985</t>
  </si>
  <si>
    <t>0                      D  0013000B  334         1985</t>
  </si>
  <si>
    <t>The modern researcher / by Jacques Barzun and Henry F. Graff.</t>
  </si>
  <si>
    <t>Barzun, Jacques, 1907-2012.</t>
  </si>
  <si>
    <t>San Diego : Harcourt Brace Jovanovich, c1985.</t>
  </si>
  <si>
    <t>1985</t>
  </si>
  <si>
    <t>4th ed.</t>
  </si>
  <si>
    <t>2005-12-19</t>
  </si>
  <si>
    <t>10670933807:eng</t>
  </si>
  <si>
    <t>12398631</t>
  </si>
  <si>
    <t>991000681389702656</t>
  </si>
  <si>
    <t>2267880690002656</t>
  </si>
  <si>
    <t>9780151614790</t>
  </si>
  <si>
    <t>32285001166759</t>
  </si>
  <si>
    <t>893608182</t>
  </si>
  <si>
    <t>D13 .B38</t>
  </si>
  <si>
    <t>0                      D  0013000B  38</t>
  </si>
  <si>
    <t>Detachment and the writing of history; essays and letters of Carl L. Becker. Edited by Phil L. Snyder.</t>
  </si>
  <si>
    <t>Becker, Carl L. (Carl Lotus), 1873-1945.</t>
  </si>
  <si>
    <t>Ithaca, N.Y., Cornell University Press [1958]</t>
  </si>
  <si>
    <t>2002-10-09</t>
  </si>
  <si>
    <t>1996-08-23</t>
  </si>
  <si>
    <t>54023734:eng</t>
  </si>
  <si>
    <t>1147491</t>
  </si>
  <si>
    <t>991003572059702656</t>
  </si>
  <si>
    <t>2262497930002656</t>
  </si>
  <si>
    <t>32285002287182</t>
  </si>
  <si>
    <t>893435143</t>
  </si>
  <si>
    <t>D13 .B57</t>
  </si>
  <si>
    <t>0                      D  0013000B  57</t>
  </si>
  <si>
    <t>Historiography, method, history teaching; a bibliography of books and articles in English, 1965-1973, by Alexander S. Birkos and Lewis A. Tambs.</t>
  </si>
  <si>
    <t>Birkos, Alexander S.</t>
  </si>
  <si>
    <t>[Hamden, Conn.] Linnet Books, 1975.</t>
  </si>
  <si>
    <t>918692266:eng</t>
  </si>
  <si>
    <t>1054363</t>
  </si>
  <si>
    <t>991003502429702656</t>
  </si>
  <si>
    <t>2269220730002656</t>
  </si>
  <si>
    <t>9780208014207</t>
  </si>
  <si>
    <t>32285002287190</t>
  </si>
  <si>
    <t>893352855</t>
  </si>
  <si>
    <t>D13 .B684</t>
  </si>
  <si>
    <t>0                      D  0013000B  684</t>
  </si>
  <si>
    <t>Narrative form in history and fiction: Hume, Fielding &amp; Gibbon.</t>
  </si>
  <si>
    <t>Braudy, Leo.</t>
  </si>
  <si>
    <t>Princeton, N.J., Princeton University Press, 1970.</t>
  </si>
  <si>
    <t>nju</t>
  </si>
  <si>
    <t>1998-10-16</t>
  </si>
  <si>
    <t>15296044:eng</t>
  </si>
  <si>
    <t>60588</t>
  </si>
  <si>
    <t>991000157969702656</t>
  </si>
  <si>
    <t>2271711920002656</t>
  </si>
  <si>
    <t>9780691061689</t>
  </si>
  <si>
    <t>32285002287208</t>
  </si>
  <si>
    <t>893784024</t>
  </si>
  <si>
    <t>D13 .C3413 1988</t>
  </si>
  <si>
    <t>0                      D  0013000C  3413        1988</t>
  </si>
  <si>
    <t>The writing of history / Michel de Certeau ; translated by Tom Conley.</t>
  </si>
  <si>
    <t>Certeau, Michel de.</t>
  </si>
  <si>
    <t>New York : Columbia University Press, 1988.</t>
  </si>
  <si>
    <t>European perspectives</t>
  </si>
  <si>
    <t>2007-11-12</t>
  </si>
  <si>
    <t>2005-02-23</t>
  </si>
  <si>
    <t>991284:eng</t>
  </si>
  <si>
    <t>16924269</t>
  </si>
  <si>
    <t>991004482599702656</t>
  </si>
  <si>
    <t>2271169710002656</t>
  </si>
  <si>
    <t>9780231055741</t>
  </si>
  <si>
    <t>32285005027056</t>
  </si>
  <si>
    <t>893430107</t>
  </si>
  <si>
    <t>D13 .C585 1989</t>
  </si>
  <si>
    <t>0                      D  0013000C  585         1989</t>
  </si>
  <si>
    <t>Not by fact alone : essays on the writing and reading of history / John Clive.</t>
  </si>
  <si>
    <t>Clive, John Leonard, 1924-</t>
  </si>
  <si>
    <t>New York : Knopf, 1989.</t>
  </si>
  <si>
    <t>2001-09-27</t>
  </si>
  <si>
    <t>1989-10-20</t>
  </si>
  <si>
    <t>1115489:eng</t>
  </si>
  <si>
    <t>18326277</t>
  </si>
  <si>
    <t>991001332799702656</t>
  </si>
  <si>
    <t>2256378840002656</t>
  </si>
  <si>
    <t>9780394489537</t>
  </si>
  <si>
    <t>32285000003375</t>
  </si>
  <si>
    <t>893321843</t>
  </si>
  <si>
    <t>D13 .C596 1992</t>
  </si>
  <si>
    <t>0                      D  0013000C  596         1992</t>
  </si>
  <si>
    <t>Ancient and medieval memories : studies in the reconstruction of the past / Janet Coleman.</t>
  </si>
  <si>
    <t>Coleman, Janet.</t>
  </si>
  <si>
    <t>Cambridge [England] ; New York : Cambridge University Press, 1992.</t>
  </si>
  <si>
    <t>1999-05-19</t>
  </si>
  <si>
    <t>1992-05-14</t>
  </si>
  <si>
    <t>808888636:eng</t>
  </si>
  <si>
    <t>22953162</t>
  </si>
  <si>
    <t>991001826839702656</t>
  </si>
  <si>
    <t>2263212860002656</t>
  </si>
  <si>
    <t>9780521411448</t>
  </si>
  <si>
    <t>32285001115293</t>
  </si>
  <si>
    <t>893346820</t>
  </si>
  <si>
    <t>D13 .C635</t>
  </si>
  <si>
    <t>0                      D  0013000C  635</t>
  </si>
  <si>
    <t>The heritage and challenge of history / by Paul K. Conkin and Roland N. Stromberg.</t>
  </si>
  <si>
    <t>Conkin, Paul Keith.</t>
  </si>
  <si>
    <t>New York : Dodd, Mead, 1971.</t>
  </si>
  <si>
    <t>1998-12-09</t>
  </si>
  <si>
    <t>1991-01-10</t>
  </si>
  <si>
    <t>1310698:eng</t>
  </si>
  <si>
    <t>142501</t>
  </si>
  <si>
    <t>991000815779702656</t>
  </si>
  <si>
    <t>2254819520002656</t>
  </si>
  <si>
    <t>9780396063162</t>
  </si>
  <si>
    <t>32285000430503</t>
  </si>
  <si>
    <t>893620815</t>
  </si>
  <si>
    <t>D13 .C682</t>
  </si>
  <si>
    <t>0                      D  0013000C  682</t>
  </si>
  <si>
    <t>History as the story of liberty. [Translated from the Italian by Sylvia Sprigge]</t>
  </si>
  <si>
    <t>Croce, Benedetto, 1866-1952.</t>
  </si>
  <si>
    <t>New York, Meridian Books, 1955.</t>
  </si>
  <si>
    <t>1955</t>
  </si>
  <si>
    <t>Meridian books ; M17</t>
  </si>
  <si>
    <t>2000-09-19</t>
  </si>
  <si>
    <t>4460859390:eng</t>
  </si>
  <si>
    <t>3881354</t>
  </si>
  <si>
    <t>991004538229702656</t>
  </si>
  <si>
    <t>2255533910002656</t>
  </si>
  <si>
    <t>32285002287273</t>
  </si>
  <si>
    <t>893331715</t>
  </si>
  <si>
    <t>D13 .C7 1960</t>
  </si>
  <si>
    <t>0                      D  0013000C  7           1960</t>
  </si>
  <si>
    <t>History: its theory and practice. Authorized translation by Douglas Ainslie.</t>
  </si>
  <si>
    <t>New York, Russell &amp; Russell, 1960.</t>
  </si>
  <si>
    <t>1960</t>
  </si>
  <si>
    <t>2001-09-15</t>
  </si>
  <si>
    <t>3855313250:eng</t>
  </si>
  <si>
    <t>395138</t>
  </si>
  <si>
    <t>991002671029702656</t>
  </si>
  <si>
    <t>2260659040002656</t>
  </si>
  <si>
    <t>32285002287281</t>
  </si>
  <si>
    <t>893323217</t>
  </si>
  <si>
    <t>D13 .D63</t>
  </si>
  <si>
    <t>0                      D  0013000D  63</t>
  </si>
  <si>
    <t>Historical thought in America: postwar patterns.</t>
  </si>
  <si>
    <t>Donovan, Timothy Paul.</t>
  </si>
  <si>
    <t>Norman, University of Oklahoma Press [1973]</t>
  </si>
  <si>
    <t>1973</t>
  </si>
  <si>
    <t>oku</t>
  </si>
  <si>
    <t>1996-11-04</t>
  </si>
  <si>
    <t>461890:eng</t>
  </si>
  <si>
    <t>623266</t>
  </si>
  <si>
    <t>991003067739702656</t>
  </si>
  <si>
    <t>2255931700002656</t>
  </si>
  <si>
    <t>32285001166791</t>
  </si>
  <si>
    <t>893786936</t>
  </si>
  <si>
    <t>D13 .D73 1989</t>
  </si>
  <si>
    <t>0                      D  0013000D  73          1989</t>
  </si>
  <si>
    <t>On history and philosophers of history / by William H. Dray.</t>
  </si>
  <si>
    <t>Dray, William H.</t>
  </si>
  <si>
    <t>Leiden ; New York : Brill, 1989.</t>
  </si>
  <si>
    <t xml:space="preserve">ne </t>
  </si>
  <si>
    <t>Philosophy of history and culture, 0922-6001 ; v. 2</t>
  </si>
  <si>
    <t>1990-06-20</t>
  </si>
  <si>
    <t>21486591:eng</t>
  </si>
  <si>
    <t>19922800</t>
  </si>
  <si>
    <t>991001516379702656</t>
  </si>
  <si>
    <t>2267693300002656</t>
  </si>
  <si>
    <t>9789004090002</t>
  </si>
  <si>
    <t>32285000178706</t>
  </si>
  <si>
    <t>893315818</t>
  </si>
  <si>
    <t>D13 .H43</t>
  </si>
  <si>
    <t>0                      D  0013000H  43</t>
  </si>
  <si>
    <t>History [by] John Higham, with Leonard Krieger and Felix Gilbert.</t>
  </si>
  <si>
    <t>Higham, John, 1937-</t>
  </si>
  <si>
    <t>Englewood Cliffs, N.J., Prentice-Hall [1965]</t>
  </si>
  <si>
    <t>Humanistic scholarship in America</t>
  </si>
  <si>
    <t>1999-10-27</t>
  </si>
  <si>
    <t>153596885:eng</t>
  </si>
  <si>
    <t>392066</t>
  </si>
  <si>
    <t>991002662869702656</t>
  </si>
  <si>
    <t>2263548300002656</t>
  </si>
  <si>
    <t>32285002287398</t>
  </si>
  <si>
    <t>893773882</t>
  </si>
  <si>
    <t>D13 .I62 1979</t>
  </si>
  <si>
    <t>0                      D  0013000I  62          1979</t>
  </si>
  <si>
    <t>International handbook of historical studies : contemporary research and theory / edited by Georg G. Iggers and Harold T. Parker.</t>
  </si>
  <si>
    <t>Westport, Conn. : Greenwood Press, 1979.</t>
  </si>
  <si>
    <t>1997-10-16</t>
  </si>
  <si>
    <t>505635106:eng</t>
  </si>
  <si>
    <t>5171863</t>
  </si>
  <si>
    <t>991004792919702656</t>
  </si>
  <si>
    <t>2259021580002656</t>
  </si>
  <si>
    <t>9780313213670</t>
  </si>
  <si>
    <t>32285001166841</t>
  </si>
  <si>
    <t>893688153</t>
  </si>
  <si>
    <t>D13 .L46 1975</t>
  </si>
  <si>
    <t>0                      D  0013000L  46          1975</t>
  </si>
  <si>
    <t>History--remembered, recovered, invented / by Bernard Lewis.</t>
  </si>
  <si>
    <t>Lewis, Bernard, 1916-2018.</t>
  </si>
  <si>
    <t>Princeton : Princeton University Press, [1975]</t>
  </si>
  <si>
    <t>2003-11-06</t>
  </si>
  <si>
    <t>14907528:eng</t>
  </si>
  <si>
    <t>1173750</t>
  </si>
  <si>
    <t>991003591019702656</t>
  </si>
  <si>
    <t>2271404700002656</t>
  </si>
  <si>
    <t>9780691035475</t>
  </si>
  <si>
    <t>32285002287414</t>
  </si>
  <si>
    <t>893717840</t>
  </si>
  <si>
    <t>D13 .M3656 2002</t>
  </si>
  <si>
    <t>0                      D  0013000M  3656        2002</t>
  </si>
  <si>
    <t>Medieval concepts of the past : ritual, memory, historiography / edited by Gerd Althoff, Johannes Fried, Patrick J. Geary.</t>
  </si>
  <si>
    <t>Washington, D.C. : German Historical Institute ; Cambridge, UK : Cambridge University Press, 2002.</t>
  </si>
  <si>
    <t>Publications of the German Historical Institute</t>
  </si>
  <si>
    <t>2004-02-02</t>
  </si>
  <si>
    <t>2004-01-06</t>
  </si>
  <si>
    <t>837010646:eng</t>
  </si>
  <si>
    <t>43567294</t>
  </si>
  <si>
    <t>991004155699702656</t>
  </si>
  <si>
    <t>2264172910002656</t>
  </si>
  <si>
    <t>9780521780667</t>
  </si>
  <si>
    <t>32285004849153</t>
  </si>
  <si>
    <t>893519309</t>
  </si>
  <si>
    <t>D13 .M86 2000</t>
  </si>
  <si>
    <t>0                      D  0013000M  86          2000</t>
  </si>
  <si>
    <t>The Routledge companion to historical studies / Alun Munslow.</t>
  </si>
  <si>
    <t>Munslow, Alun, 1947-</t>
  </si>
  <si>
    <t>London ; New York : Routledge, 2000.</t>
  </si>
  <si>
    <t>2002-08-16</t>
  </si>
  <si>
    <t>2000-04-11</t>
  </si>
  <si>
    <t>35014980:eng</t>
  </si>
  <si>
    <t>41320000</t>
  </si>
  <si>
    <t>991003025439702656</t>
  </si>
  <si>
    <t>2268097520002656</t>
  </si>
  <si>
    <t>9780415184946</t>
  </si>
  <si>
    <t>32285003676615</t>
  </si>
  <si>
    <t>893721762</t>
  </si>
  <si>
    <t>D13 .N35</t>
  </si>
  <si>
    <t>0                      D  0013000N  35</t>
  </si>
  <si>
    <t>The poetry of history; the contribution of literature and literary scholarship to the writing of history since Voltaire.</t>
  </si>
  <si>
    <t>Neff, Emery (Emery Edward), 1892-1983.</t>
  </si>
  <si>
    <t>New York, Columbia Univ. Press, 1947.</t>
  </si>
  <si>
    <t>1947</t>
  </si>
  <si>
    <t>1999-10-30</t>
  </si>
  <si>
    <t>242310178:eng</t>
  </si>
  <si>
    <t>392617</t>
  </si>
  <si>
    <t>991002664319702656</t>
  </si>
  <si>
    <t>2263583030002656</t>
  </si>
  <si>
    <t>32285002287505</t>
  </si>
  <si>
    <t>893685632</t>
  </si>
  <si>
    <t>D13 .S57</t>
  </si>
  <si>
    <t>0                      D  0013000S  57</t>
  </si>
  <si>
    <t>The historian and history.</t>
  </si>
  <si>
    <t>Smith, Page.</t>
  </si>
  <si>
    <t>New York, Knopf, 1964.</t>
  </si>
  <si>
    <t>1964</t>
  </si>
  <si>
    <t>1998-11-03</t>
  </si>
  <si>
    <t>1529803:eng</t>
  </si>
  <si>
    <t>392611</t>
  </si>
  <si>
    <t>991002664279702656</t>
  </si>
  <si>
    <t>2263583540002656</t>
  </si>
  <si>
    <t>32285002287604</t>
  </si>
  <si>
    <t>893409388</t>
  </si>
  <si>
    <t>D13 .S82</t>
  </si>
  <si>
    <t>0                      D  0013000S  82</t>
  </si>
  <si>
    <t>The varieties of history, from Voltaire to the present.</t>
  </si>
  <si>
    <t>Stern, Fritz, 1926-2016 editor.</t>
  </si>
  <si>
    <t>New York, Meridian Books, 1956.</t>
  </si>
  <si>
    <t>1956</t>
  </si>
  <si>
    <t>Meridian books ; M37</t>
  </si>
  <si>
    <t>1992-07-08</t>
  </si>
  <si>
    <t>889417015:eng</t>
  </si>
  <si>
    <t>390746</t>
  </si>
  <si>
    <t>991002658949702656</t>
  </si>
  <si>
    <t>2262018490002656</t>
  </si>
  <si>
    <t>32285001187177</t>
  </si>
  <si>
    <t>893892821</t>
  </si>
  <si>
    <t>D13 .S84</t>
  </si>
  <si>
    <t>0                      D  0013000S  84</t>
  </si>
  <si>
    <t>Materials &amp; methods for history research / by Carla Stoffle, Henry F. Dobyns.</t>
  </si>
  <si>
    <t>Stoffle, Carla J.</t>
  </si>
  <si>
    <t>New York : Libraryworks, [1979]</t>
  </si>
  <si>
    <t>Bibliographic instruction series</t>
  </si>
  <si>
    <t>1998-06-02</t>
  </si>
  <si>
    <t>561975:eng</t>
  </si>
  <si>
    <t>4638202</t>
  </si>
  <si>
    <t>991004694069702656</t>
  </si>
  <si>
    <t>2256061170002656</t>
  </si>
  <si>
    <t>9780918212078</t>
  </si>
  <si>
    <t>32285001166932</t>
  </si>
  <si>
    <t>893526401</t>
  </si>
  <si>
    <t>D13 .W56 1996</t>
  </si>
  <si>
    <t>0                      D  0013000W  56          1996</t>
  </si>
  <si>
    <t>The killing of history : how a discipline is being murdered by literary critics and social theorists / Keith Windschuttle.</t>
  </si>
  <si>
    <t>Windschuttle, Keith, 1942-</t>
  </si>
  <si>
    <t>Paddington, NSW, Australia : Macleay, c1996.</t>
  </si>
  <si>
    <t>Rev. &amp; expanded international ed.</t>
  </si>
  <si>
    <t xml:space="preserve">at </t>
  </si>
  <si>
    <t>1998-11-18</t>
  </si>
  <si>
    <t>1997-04-04</t>
  </si>
  <si>
    <t>3753397252:eng</t>
  </si>
  <si>
    <t>35118450</t>
  </si>
  <si>
    <t>991002688339702656</t>
  </si>
  <si>
    <t>2267687870002656</t>
  </si>
  <si>
    <t>9780646265063</t>
  </si>
  <si>
    <t>32285002479110</t>
  </si>
  <si>
    <t>893710553</t>
  </si>
  <si>
    <t>D13 .W65</t>
  </si>
  <si>
    <t>0                      D  0013000W  65</t>
  </si>
  <si>
    <t>The historian as detective; essays on evidence. Robin W. Winks, editor.</t>
  </si>
  <si>
    <t>Winks, Robin W. compiler.</t>
  </si>
  <si>
    <t>New York, Harper &amp; Row [1969]</t>
  </si>
  <si>
    <t>1969</t>
  </si>
  <si>
    <t>2005-09-09</t>
  </si>
  <si>
    <t>5780999:eng</t>
  </si>
  <si>
    <t>9864</t>
  </si>
  <si>
    <t>991000001009702656</t>
  </si>
  <si>
    <t>2268680220002656</t>
  </si>
  <si>
    <t>32285002287703</t>
  </si>
  <si>
    <t>893248991</t>
  </si>
  <si>
    <t>D13.2 .W74</t>
  </si>
  <si>
    <t>0                      D  0013200W  74</t>
  </si>
  <si>
    <t>The Writing of history : literary form and historical understanding / edited by Robert H. Canary and Henry Kozicki.</t>
  </si>
  <si>
    <t>Madison : University of Wisconsin Press, 1978.</t>
  </si>
  <si>
    <t>2006-10-10</t>
  </si>
  <si>
    <t>890639272:eng</t>
  </si>
  <si>
    <t>3748290</t>
  </si>
  <si>
    <t>991004507779702656</t>
  </si>
  <si>
    <t>2269214170002656</t>
  </si>
  <si>
    <t>9780299075705</t>
  </si>
  <si>
    <t>32285001166973</t>
  </si>
  <si>
    <t>893331689</t>
  </si>
  <si>
    <t>D13.5.F8 B87 1990</t>
  </si>
  <si>
    <t>0                      D  0013500F  8                  B  87          1990</t>
  </si>
  <si>
    <t>The French historical revolution : the Annales school, 1929-89 / Peter Burke.</t>
  </si>
  <si>
    <t>Burke, Peter, 1937-</t>
  </si>
  <si>
    <t>Stanford, Calif. ; Stanford University Press, 1990.</t>
  </si>
  <si>
    <t>Key contemporary thinkers</t>
  </si>
  <si>
    <t>2004-09-21</t>
  </si>
  <si>
    <t>1991-06-11</t>
  </si>
  <si>
    <t>839679646:eng</t>
  </si>
  <si>
    <t>23444056</t>
  </si>
  <si>
    <t>991001864069702656</t>
  </si>
  <si>
    <t>2259397660002656</t>
  </si>
  <si>
    <t>9780804718370</t>
  </si>
  <si>
    <t>32285000594639</t>
  </si>
  <si>
    <t>893596789</t>
  </si>
  <si>
    <t>D13.5.U6 C73 1983</t>
  </si>
  <si>
    <t>0                      D  0013500U  6                  C  73          1983</t>
  </si>
  <si>
    <t>The Craft of public history : an annotated select bibliography / David F. Trask and Robert W. Pomeroy III, general editors.</t>
  </si>
  <si>
    <t>Westport, Conn. : Greenwood Press, 1983.</t>
  </si>
  <si>
    <t>860413912:eng</t>
  </si>
  <si>
    <t>9217941</t>
  </si>
  <si>
    <t>991000152789702656</t>
  </si>
  <si>
    <t>2265513760002656</t>
  </si>
  <si>
    <t>9780313236877</t>
  </si>
  <si>
    <t>32285001167005</t>
  </si>
  <si>
    <t>893902912</t>
  </si>
  <si>
    <t>D133 .F313 1965</t>
  </si>
  <si>
    <t>0                      D  0133000F  313         1965</t>
  </si>
  <si>
    <t>The Holy Roman Republic; a historic profile of the Middle Ages. Translated by K. V. Kent.</t>
  </si>
  <si>
    <t>Falco, Giorgio, 1888-1966.</t>
  </si>
  <si>
    <t>New York, A. S. Barnes [1965, c1964]</t>
  </si>
  <si>
    <t>2002-02-19</t>
  </si>
  <si>
    <t>4714386790:eng</t>
  </si>
  <si>
    <t>419172</t>
  </si>
  <si>
    <t>991002735679702656</t>
  </si>
  <si>
    <t>2261585270002656</t>
  </si>
  <si>
    <t>32285002298767</t>
  </si>
  <si>
    <t>893685715</t>
  </si>
  <si>
    <t>D135 .M8813</t>
  </si>
  <si>
    <t>0                      D  0135000M  8813</t>
  </si>
  <si>
    <t>The Germanic invasions : the making of Europe, AD 400-600 / Lucien Musset ; translated by Edward and Columba James.</t>
  </si>
  <si>
    <t>Musset, Lucien.</t>
  </si>
  <si>
    <t>University Park : Pennsylvania State University Press, c1975.</t>
  </si>
  <si>
    <t>pau</t>
  </si>
  <si>
    <t>306738990:eng</t>
  </si>
  <si>
    <t>1898252</t>
  </si>
  <si>
    <t>991003931169702656</t>
  </si>
  <si>
    <t>2264058460002656</t>
  </si>
  <si>
    <t>9780271011981</t>
  </si>
  <si>
    <t>32285002298791</t>
  </si>
  <si>
    <t>893410916</t>
  </si>
  <si>
    <t>D137 .H425 1996</t>
  </si>
  <si>
    <t>0                      D  0137000H  425         1996</t>
  </si>
  <si>
    <t>The Goths / Peter Heather.</t>
  </si>
  <si>
    <t>Heather, P. J. (Peter J.)</t>
  </si>
  <si>
    <t>Peoples of Europe</t>
  </si>
  <si>
    <t>1998-02-13</t>
  </si>
  <si>
    <t>1997-03-13</t>
  </si>
  <si>
    <t>3772419430:eng</t>
  </si>
  <si>
    <t>34245226</t>
  </si>
  <si>
    <t>991002613269702656</t>
  </si>
  <si>
    <t>2264407020002656</t>
  </si>
  <si>
    <t>9780631165361</t>
  </si>
  <si>
    <t>32285002442654</t>
  </si>
  <si>
    <t>893347703</t>
  </si>
  <si>
    <t>D137 .H43 1991</t>
  </si>
  <si>
    <t>0                      D  0137000H  43          1991</t>
  </si>
  <si>
    <t>Goths and Romans, 332-489 / P.J. Heather.</t>
  </si>
  <si>
    <t>Oxford : Clarendon Press ; New York : Oxford University Press, 1991.</t>
  </si>
  <si>
    <t>1991</t>
  </si>
  <si>
    <t>Oxford historical monographs</t>
  </si>
  <si>
    <t>2005-03-10</t>
  </si>
  <si>
    <t>1992-11-09</t>
  </si>
  <si>
    <t>24954419:eng</t>
  </si>
  <si>
    <t>23463571</t>
  </si>
  <si>
    <t>991001866609702656</t>
  </si>
  <si>
    <t>2256014310002656</t>
  </si>
  <si>
    <t>9780198202349</t>
  </si>
  <si>
    <t>32285001361186</t>
  </si>
  <si>
    <t>893779154</t>
  </si>
  <si>
    <t>D14 .B33 1982</t>
  </si>
  <si>
    <t>0                      D  0014000B  33          1982</t>
  </si>
  <si>
    <t>The superhistorians : makers of our past / by John Barker.</t>
  </si>
  <si>
    <t>Barker, John, 1934-</t>
  </si>
  <si>
    <t>New York : Charles Scribner's, c1982.</t>
  </si>
  <si>
    <t>1995-07-18</t>
  </si>
  <si>
    <t>32037292:eng</t>
  </si>
  <si>
    <t>8345175</t>
  </si>
  <si>
    <t>991005232309702656</t>
  </si>
  <si>
    <t>2263289700002656</t>
  </si>
  <si>
    <t>9780684166643</t>
  </si>
  <si>
    <t>32285001167013</t>
  </si>
  <si>
    <t>893443627</t>
  </si>
  <si>
    <t>D14 .F57 1986</t>
  </si>
  <si>
    <t>0                      D  0014000F  57          1986</t>
  </si>
  <si>
    <t>The past recaptured : great historians and the history of history / M.A. Fitzsimons.</t>
  </si>
  <si>
    <t>Fitzsimons, M. A. (Matthew Anthony), 1912-1992.</t>
  </si>
  <si>
    <t>Notre Dame, Ind. : University of Notre Dame Press, 1986, c1983.</t>
  </si>
  <si>
    <t>inu</t>
  </si>
  <si>
    <t>1990-06-18</t>
  </si>
  <si>
    <t>836713866:eng</t>
  </si>
  <si>
    <t>9217240</t>
  </si>
  <si>
    <t>991000152099702656</t>
  </si>
  <si>
    <t>2267602970002656</t>
  </si>
  <si>
    <t>9780268015664</t>
  </si>
  <si>
    <t>32285000178375</t>
  </si>
  <si>
    <t>893495970</t>
  </si>
  <si>
    <t>D14 .H517</t>
  </si>
  <si>
    <t>0                      D  0014000H  517</t>
  </si>
  <si>
    <t>Historians in politics / edited by Walter Laqueur and George L. Mosse.</t>
  </si>
  <si>
    <t>London ; Beverly Hills : Sage Publications, 1974.</t>
  </si>
  <si>
    <t>1974</t>
  </si>
  <si>
    <t>Sage readers in 20th century history ; v. 1</t>
  </si>
  <si>
    <t>2000-09-20</t>
  </si>
  <si>
    <t>347066814:eng</t>
  </si>
  <si>
    <t>1364888</t>
  </si>
  <si>
    <t>991003719149702656</t>
  </si>
  <si>
    <t>2257212640002656</t>
  </si>
  <si>
    <t>9780803999305</t>
  </si>
  <si>
    <t>32285002287760</t>
  </si>
  <si>
    <t>893252682</t>
  </si>
  <si>
    <t>D14 .H52</t>
  </si>
  <si>
    <t>0                      D  0014000H  52</t>
  </si>
  <si>
    <t>Historians of modern Europe / Edited by Hans A. Schmitt.</t>
  </si>
  <si>
    <t>Baton Rouge : Louisiana State University Press, 1971.</t>
  </si>
  <si>
    <t>lau</t>
  </si>
  <si>
    <t>2005-10-22</t>
  </si>
  <si>
    <t>180106187:eng</t>
  </si>
  <si>
    <t>140765</t>
  </si>
  <si>
    <t>991000805779702656</t>
  </si>
  <si>
    <t>2255705220002656</t>
  </si>
  <si>
    <t>9780807108369</t>
  </si>
  <si>
    <t>32285001167039</t>
  </si>
  <si>
    <t>893865701</t>
  </si>
  <si>
    <t>D141 .G6</t>
  </si>
  <si>
    <t>0                      D  0141000G  6</t>
  </si>
  <si>
    <t>The age of Attila; fifth-century Byzantium and the Barbarians. Foreword by Arthur E. R. Boak.</t>
  </si>
  <si>
    <t>Gordon, Colin D. (Colin Douglas), 1915-</t>
  </si>
  <si>
    <t>Ann Arbor, University of Michigan Press [1960]</t>
  </si>
  <si>
    <t>1998-04-15</t>
  </si>
  <si>
    <t>285336397:eng</t>
  </si>
  <si>
    <t>871429</t>
  </si>
  <si>
    <t>991003340609702656</t>
  </si>
  <si>
    <t>2261293990002656</t>
  </si>
  <si>
    <t>32285002298809</t>
  </si>
  <si>
    <t>893717560</t>
  </si>
  <si>
    <t>D141 .M33</t>
  </si>
  <si>
    <t>0                      D  0141000M  33</t>
  </si>
  <si>
    <t>The world of the Huns; studies in their history and culture, by Otto J. Maenchen-Helfen. Edited by Max Knight.</t>
  </si>
  <si>
    <t>Maenchen-Helfen, Otto.</t>
  </si>
  <si>
    <t>Berkeley, University of California Press, 1973.</t>
  </si>
  <si>
    <t>500457:eng</t>
  </si>
  <si>
    <t>801712</t>
  </si>
  <si>
    <t>991003278809702656</t>
  </si>
  <si>
    <t>2270049500002656</t>
  </si>
  <si>
    <t>9780520015968</t>
  </si>
  <si>
    <t>32285002298817</t>
  </si>
  <si>
    <t>893434838</t>
  </si>
  <si>
    <t>D141 .T5 1975</t>
  </si>
  <si>
    <t>0                      D  0141000T  5           1975</t>
  </si>
  <si>
    <t>A history of Attila and the Huns / by E. A. Thompson.</t>
  </si>
  <si>
    <t>Thompson, E. A.</t>
  </si>
  <si>
    <t>Westport, Conn. : Greenwood Press, 1975.</t>
  </si>
  <si>
    <t>1591720:eng</t>
  </si>
  <si>
    <t>1617283</t>
  </si>
  <si>
    <t>991003840949702656</t>
  </si>
  <si>
    <t>2262522460002656</t>
  </si>
  <si>
    <t>9780837176406</t>
  </si>
  <si>
    <t>32285002298825</t>
  </si>
  <si>
    <t>893592960</t>
  </si>
  <si>
    <t>D147 .D84</t>
  </si>
  <si>
    <t>0                      D  0147000D  84</t>
  </si>
  <si>
    <t>The Slavs in European history and civilization.</t>
  </si>
  <si>
    <t>Dvornik, Francis, 1893-1975.</t>
  </si>
  <si>
    <t>New Brunswick, N.J., Rutgers University Press [1962]</t>
  </si>
  <si>
    <t>1962</t>
  </si>
  <si>
    <t>1999-05-03</t>
  </si>
  <si>
    <t>349729948:eng</t>
  </si>
  <si>
    <t>392665</t>
  </si>
  <si>
    <t>991002664509702656</t>
  </si>
  <si>
    <t>2263587030002656</t>
  </si>
  <si>
    <t>32285002298841</t>
  </si>
  <si>
    <t>893886553</t>
  </si>
  <si>
    <t>D147 .D85</t>
  </si>
  <si>
    <t>0                      D  0147000D  85</t>
  </si>
  <si>
    <t>The Slavs: their early history and civilization.</t>
  </si>
  <si>
    <t>Boston, American Academy of Arts and Sciences, 1956.</t>
  </si>
  <si>
    <t>Survey of Slavic civilization ; v. 2</t>
  </si>
  <si>
    <t>2002-05-16</t>
  </si>
  <si>
    <t>349729748:eng</t>
  </si>
  <si>
    <t>397287</t>
  </si>
  <si>
    <t>991002677209702656</t>
  </si>
  <si>
    <t>2261501450002656</t>
  </si>
  <si>
    <t>32285002298858</t>
  </si>
  <si>
    <t>893511051</t>
  </si>
  <si>
    <t>D147 .K53</t>
  </si>
  <si>
    <t>0                      D  0147000K  53</t>
  </si>
  <si>
    <t>Ancient Slavs / by Frank A. Kmietowicz.</t>
  </si>
  <si>
    <t>Kmietowicz, Frank A.</t>
  </si>
  <si>
    <t>Stevens Point, Wis. : Worzalla Pub. Co., c1976.</t>
  </si>
  <si>
    <t>1976</t>
  </si>
  <si>
    <t>1999-04-29</t>
  </si>
  <si>
    <t>3887996:eng</t>
  </si>
  <si>
    <t>2070324</t>
  </si>
  <si>
    <t>991003998979702656</t>
  </si>
  <si>
    <t>2256786260002656</t>
  </si>
  <si>
    <t>32285002298866</t>
  </si>
  <si>
    <t>893599297</t>
  </si>
  <si>
    <t>D148 .C37 1986</t>
  </si>
  <si>
    <t>0                      D  0148000C  37          1986</t>
  </si>
  <si>
    <t>The Norman achievement / Richard F. Cassady ; foreword by John Julius Norwich.</t>
  </si>
  <si>
    <t>Cassady, Richard F., 1919-</t>
  </si>
  <si>
    <t>London : Sidgwick &amp; Jackson, 1986.</t>
  </si>
  <si>
    <t>Great civilizations series</t>
  </si>
  <si>
    <t>1993-12-17</t>
  </si>
  <si>
    <t>1992-06-03</t>
  </si>
  <si>
    <t>13331163:eng</t>
  </si>
  <si>
    <t>16711833</t>
  </si>
  <si>
    <t>991001135849702656</t>
  </si>
  <si>
    <t>2262363290002656</t>
  </si>
  <si>
    <t>9780283993909</t>
  </si>
  <si>
    <t>32285001126597</t>
  </si>
  <si>
    <t>893808954</t>
  </si>
  <si>
    <t>D15.A25 H5</t>
  </si>
  <si>
    <t>0                      D  0015000A  25                 H  5</t>
  </si>
  <si>
    <t>Lord Acton : a study in conscience and politics.</t>
  </si>
  <si>
    <t>Himmelfarb, Gertrude.</t>
  </si>
  <si>
    <t>Chicago : University of Chicago Press, [1952]</t>
  </si>
  <si>
    <t>1952</t>
  </si>
  <si>
    <t>1994-06-28</t>
  </si>
  <si>
    <t>1993-09-29</t>
  </si>
  <si>
    <t>151142334:eng</t>
  </si>
  <si>
    <t>3011425</t>
  </si>
  <si>
    <t>991004317819702656</t>
  </si>
  <si>
    <t>2269363030002656</t>
  </si>
  <si>
    <t>32285001771525</t>
  </si>
  <si>
    <t>893263202</t>
  </si>
  <si>
    <t>D15.A25 M3 1974</t>
  </si>
  <si>
    <t>0                      D  0015000A  25                 M  3           1974</t>
  </si>
  <si>
    <t>Acton, the formative years.</t>
  </si>
  <si>
    <t>Mathew, David, 1902-1975.</t>
  </si>
  <si>
    <t>Westport, Conn. : Greenwood Press, [1974]</t>
  </si>
  <si>
    <t>1994-11-10</t>
  </si>
  <si>
    <t>62075336:eng</t>
  </si>
  <si>
    <t>802861</t>
  </si>
  <si>
    <t>991003280149702656</t>
  </si>
  <si>
    <t>2270431550002656</t>
  </si>
  <si>
    <t>9780837173238</t>
  </si>
  <si>
    <t>32285001771517</t>
  </si>
  <si>
    <t>893258253</t>
  </si>
  <si>
    <t>D15.B33 A4 1973</t>
  </si>
  <si>
    <t>0                      D  0015000B  33                 A  4           1973</t>
  </si>
  <si>
    <t>"What is the good of history?" Selected letters of Carl L. Becker, 1900 -1945, edited with an introd. by Michael Kammen.</t>
  </si>
  <si>
    <t>Ithaca, Cornell University Press [1973]</t>
  </si>
  <si>
    <t>1999-11-01</t>
  </si>
  <si>
    <t>350653447:eng</t>
  </si>
  <si>
    <t>702983</t>
  </si>
  <si>
    <t>991003164849702656</t>
  </si>
  <si>
    <t>2258111290002656</t>
  </si>
  <si>
    <t>9780801407789</t>
  </si>
  <si>
    <t>32285002287794</t>
  </si>
  <si>
    <t>893233869</t>
  </si>
  <si>
    <t>D15.B33 S52</t>
  </si>
  <si>
    <t>0                      D  0015000B  33                 S  52</t>
  </si>
  <si>
    <t>Carl Becker: on history &amp; the climate of opinion.</t>
  </si>
  <si>
    <t>Smith, Charlotte Watkins.</t>
  </si>
  <si>
    <t>Ithaca, N.Y., Cornell University Press [1956]</t>
  </si>
  <si>
    <t>1487610:eng</t>
  </si>
  <si>
    <t>1076222</t>
  </si>
  <si>
    <t>991003517779702656</t>
  </si>
  <si>
    <t>2257583640002656</t>
  </si>
  <si>
    <t>32285002287802</t>
  </si>
  <si>
    <t>893787410</t>
  </si>
  <si>
    <t>D15.B8 C4 1960ac</t>
  </si>
  <si>
    <t>0                      D  0015000B  8                  C  4           1960ac</t>
  </si>
  <si>
    <t>Jacob Burckhardt and the Renaissance: one hundred years after; papers on the great historian read at the meeting of the Central Renaissance Conference celebrating the centenary of the publication of Die Cultur der Renaissance in Italien held at the University of Kansas, April 28-30, and a catalogue of an exhibition of Renaissance art from the University's art collections organized in honor of the conference.</t>
  </si>
  <si>
    <t>Central Renaissance Conference (1960 : University of Kansas)</t>
  </si>
  <si>
    <t>Lawrence, Published by the Museum of Art, University of Kansas, for the Conference, 1960.</t>
  </si>
  <si>
    <t>ksu</t>
  </si>
  <si>
    <t>University of Kansas. Miscellaneous publications of the Museum of Art no. 42</t>
  </si>
  <si>
    <t>1994-07-21</t>
  </si>
  <si>
    <t>234012159:eng</t>
  </si>
  <si>
    <t>2710556</t>
  </si>
  <si>
    <t>991004220419702656</t>
  </si>
  <si>
    <t>2270703530002656</t>
  </si>
  <si>
    <t>32285001167062</t>
  </si>
  <si>
    <t>893800745</t>
  </si>
  <si>
    <t>D15.C72 C3</t>
  </si>
  <si>
    <t>0                      D  0015000C  72                 C  3</t>
  </si>
  <si>
    <t>History and liberty; the historical writings of Benedetto Croce.</t>
  </si>
  <si>
    <t>Caponigri, A. Robert (Aloysius Robert), 1915-1983.</t>
  </si>
  <si>
    <t>London, Routledge and Paul [1955]</t>
  </si>
  <si>
    <t>2004-09-23</t>
  </si>
  <si>
    <t>1687884:eng</t>
  </si>
  <si>
    <t>775604</t>
  </si>
  <si>
    <t>991003250919702656</t>
  </si>
  <si>
    <t>2266484840002656</t>
  </si>
  <si>
    <t>32285002287836</t>
  </si>
  <si>
    <t>893240009</t>
  </si>
  <si>
    <t>D15.R3 V6</t>
  </si>
  <si>
    <t>0                      D  0015000R  3                  V  6</t>
  </si>
  <si>
    <t>Leopold Ranke, the formative years.</t>
  </si>
  <si>
    <t>Von Laue, Theodore H. (Theodore Hermann)</t>
  </si>
  <si>
    <t>Princeton : Princeton University Press, 1950.</t>
  </si>
  <si>
    <t>Princeton studies in history ; v. 4</t>
  </si>
  <si>
    <t>2002-10-28</t>
  </si>
  <si>
    <t>1994-09-12</t>
  </si>
  <si>
    <t>10303937:eng</t>
  </si>
  <si>
    <t>783449</t>
  </si>
  <si>
    <t>991003257789702656</t>
  </si>
  <si>
    <t>2263908590002656</t>
  </si>
  <si>
    <t>32285001939205</t>
  </si>
  <si>
    <t>893623316</t>
  </si>
  <si>
    <t>D157 .M38 1965</t>
  </si>
  <si>
    <t>0                      D  0157000M  38          1965</t>
  </si>
  <si>
    <t>Geschichte der Kreuzzüge / Hans Eberhard Mayer.</t>
  </si>
  <si>
    <t>Mayer, Hans Eberhard, 1932-</t>
  </si>
  <si>
    <t>Stuttgart : Kohlhammer, [1965]</t>
  </si>
  <si>
    <t>[Originalausg.]</t>
  </si>
  <si>
    <t>ger</t>
  </si>
  <si>
    <t xml:space="preserve">gw </t>
  </si>
  <si>
    <t>Urban Bücher ; 86</t>
  </si>
  <si>
    <t>295125:ger</t>
  </si>
  <si>
    <t>2140625</t>
  </si>
  <si>
    <t>991003613919702656</t>
  </si>
  <si>
    <t>2258781960002656</t>
  </si>
  <si>
    <t>9783170980006</t>
  </si>
  <si>
    <t>32285004382262</t>
  </si>
  <si>
    <t>893422753</t>
  </si>
  <si>
    <t>D157 .S48</t>
  </si>
  <si>
    <t>0                      D  0157000S  48</t>
  </si>
  <si>
    <t>A history of the Crusades / editor-in-chief: Kenneth M. Setton.</t>
  </si>
  <si>
    <t>Setton, Kenneth M. (Kenneth Meyer), 1914-1995.</t>
  </si>
  <si>
    <t>[Philadelphia] : University of Pennsylvania Press, [1955-62]</t>
  </si>
  <si>
    <t>2005-10-23</t>
  </si>
  <si>
    <t>2009-04-28</t>
  </si>
  <si>
    <t>1992-07-02</t>
  </si>
  <si>
    <t>10284836708:eng</t>
  </si>
  <si>
    <t>1649312</t>
  </si>
  <si>
    <t>991003853059702656</t>
  </si>
  <si>
    <t>2254863180002656</t>
  </si>
  <si>
    <t>32285001185619</t>
  </si>
  <si>
    <t>893687041</t>
  </si>
  <si>
    <t>D158 .T79 1963</t>
  </si>
  <si>
    <t>0                      D  0158000T  79          1963</t>
  </si>
  <si>
    <t>The Crusades.</t>
  </si>
  <si>
    <t>Treece, Henry, 1911-1966.</t>
  </si>
  <si>
    <t>New York, Random House [1963, c1962]</t>
  </si>
  <si>
    <t>1963</t>
  </si>
  <si>
    <t>1995-06-14</t>
  </si>
  <si>
    <t>1995-08-16</t>
  </si>
  <si>
    <t>1527738:eng</t>
  </si>
  <si>
    <t>391790</t>
  </si>
  <si>
    <t>991002661949702656</t>
  </si>
  <si>
    <t>2260779530002656</t>
  </si>
  <si>
    <t>32285002022456</t>
  </si>
  <si>
    <t>893780068</t>
  </si>
  <si>
    <t>D16 .A38</t>
  </si>
  <si>
    <t>0                      D  0016000A  38</t>
  </si>
  <si>
    <t>From memory to history : using oral sources in local historical research / Barbara Allen and William Lynwood Montell.</t>
  </si>
  <si>
    <t>Bogart, Barbara Allen, 1946-</t>
  </si>
  <si>
    <t>Nashville, Tenn. : American Association for State and Local History, c1981.</t>
  </si>
  <si>
    <t>1981</t>
  </si>
  <si>
    <t>tnu</t>
  </si>
  <si>
    <t>2005-04-30</t>
  </si>
  <si>
    <t>1992-06-22</t>
  </si>
  <si>
    <t>321662243:eng</t>
  </si>
  <si>
    <t>7460590</t>
  </si>
  <si>
    <t>991005114149702656</t>
  </si>
  <si>
    <t>2264456290002656</t>
  </si>
  <si>
    <t>9780910050517</t>
  </si>
  <si>
    <t>32285001167179</t>
  </si>
  <si>
    <t>893688611</t>
  </si>
  <si>
    <t>D16 .C438 1988</t>
  </si>
  <si>
    <t>0                      D  0016000C  438         1988</t>
  </si>
  <si>
    <t>Cultural history : between practices and representations / Roger Chartier ; translated by Lydia G. Cochrane.</t>
  </si>
  <si>
    <t>Chartier, Roger, 1945-</t>
  </si>
  <si>
    <t>Ithaca, N.Y. : Cornell University Press, 1988.</t>
  </si>
  <si>
    <t>2000-06-27</t>
  </si>
  <si>
    <t>3856016524:eng</t>
  </si>
  <si>
    <t>17549920</t>
  </si>
  <si>
    <t>991005408999702656</t>
  </si>
  <si>
    <t>2268867540002656</t>
  </si>
  <si>
    <t>9780801422232</t>
  </si>
  <si>
    <t>32285001167211</t>
  </si>
  <si>
    <t>893890179</t>
  </si>
  <si>
    <t>D16 .D3</t>
  </si>
  <si>
    <t>0                      D  0016000D  3</t>
  </si>
  <si>
    <t>Childhood and history in America / Glenn Davis.</t>
  </si>
  <si>
    <t>Davis, Glenn (Glenn George)</t>
  </si>
  <si>
    <t>New York : Psychohistory Press, c1976.</t>
  </si>
  <si>
    <t>2001-03-27</t>
  </si>
  <si>
    <t>6186136:eng</t>
  </si>
  <si>
    <t>2859273</t>
  </si>
  <si>
    <t>991004264389702656</t>
  </si>
  <si>
    <t>2264186220002656</t>
  </si>
  <si>
    <t>9780914434047</t>
  </si>
  <si>
    <t>32285001167237</t>
  </si>
  <si>
    <t>893882266</t>
  </si>
  <si>
    <t>D16 .G44 1986</t>
  </si>
  <si>
    <t>0                      D  0016000G  44          1986</t>
  </si>
  <si>
    <t>Generations and change : genealogical perspectives in social history / edited by Robert M. Taylor, Jr. and Ralph J. Crandall.</t>
  </si>
  <si>
    <t>Macon, GA : Mercer, c1986.</t>
  </si>
  <si>
    <t>gau</t>
  </si>
  <si>
    <t>1995-02-06</t>
  </si>
  <si>
    <t>1990-02-14</t>
  </si>
  <si>
    <t>375858097:eng</t>
  </si>
  <si>
    <t>12314157</t>
  </si>
  <si>
    <t>991000670209702656</t>
  </si>
  <si>
    <t>2271581490002656</t>
  </si>
  <si>
    <t>9780865541689</t>
  </si>
  <si>
    <t>32285000052950</t>
  </si>
  <si>
    <t>893496455</t>
  </si>
  <si>
    <t>D16 .S47 1980</t>
  </si>
  <si>
    <t>0                      D  0016000S  47          1980</t>
  </si>
  <si>
    <t>A guide to historical method / edited by Robert Jones Shafer ; David Bennett ... [et al.] all of the Department of History, Syracuse University.</t>
  </si>
  <si>
    <t>Shafer, Robert Jones, 1915-1996.</t>
  </si>
  <si>
    <t>Homewood, Ill. : Dorsey Press, c1980.</t>
  </si>
  <si>
    <t>1980 3d ed.</t>
  </si>
  <si>
    <t>The Dorsey series in history</t>
  </si>
  <si>
    <t>1997-04-02</t>
  </si>
  <si>
    <t>1995-11-15</t>
  </si>
  <si>
    <t>1141161:eng</t>
  </si>
  <si>
    <t>6400352</t>
  </si>
  <si>
    <t>991004977059702656</t>
  </si>
  <si>
    <t>2266357250002656</t>
  </si>
  <si>
    <t>9780256023138</t>
  </si>
  <si>
    <t>32285002098886</t>
  </si>
  <si>
    <t>893338334</t>
  </si>
  <si>
    <t>D16.13 .S58 1990</t>
  </si>
  <si>
    <t>0                      D  0016130S  58          1990</t>
  </si>
  <si>
    <t>Psychology, science, and history : an introduction to historiometry / Dean Keith Simonton.</t>
  </si>
  <si>
    <t>Simonton, Dean Keith.</t>
  </si>
  <si>
    <t>New Haven [CT] : Yale University Press, c1990.</t>
  </si>
  <si>
    <t>1996-12-13</t>
  </si>
  <si>
    <t>1992-05-22</t>
  </si>
  <si>
    <t>836714168:eng</t>
  </si>
  <si>
    <t>21949764</t>
  </si>
  <si>
    <t>991001733219702656</t>
  </si>
  <si>
    <t>2258747830002656</t>
  </si>
  <si>
    <t>9780300047714</t>
  </si>
  <si>
    <t>32285001118164</t>
  </si>
  <si>
    <t>893408310</t>
  </si>
  <si>
    <t>D16.14 .H46 1982</t>
  </si>
  <si>
    <t>0                      D  0016140H  46          1982</t>
  </si>
  <si>
    <t>Oral historiography / David Henige.</t>
  </si>
  <si>
    <t>Henige, David P.</t>
  </si>
  <si>
    <t>London ; New York : Longman, 1982.</t>
  </si>
  <si>
    <t>1992-06-23</t>
  </si>
  <si>
    <t>31309297:eng</t>
  </si>
  <si>
    <t>8194796</t>
  </si>
  <si>
    <t>991005216309702656</t>
  </si>
  <si>
    <t>2268718620002656</t>
  </si>
  <si>
    <t>9780582643635</t>
  </si>
  <si>
    <t>32285001167302</t>
  </si>
  <si>
    <t>893236494</t>
  </si>
  <si>
    <t>D16.14 .H66</t>
  </si>
  <si>
    <t>0                      D  0016140H  66</t>
  </si>
  <si>
    <t>Oral history : an introduction for students / by James Hoopes.</t>
  </si>
  <si>
    <t>Hoopes, James, 1944-</t>
  </si>
  <si>
    <t>Chapel Hill : University of North Carolina Press, c1979.</t>
  </si>
  <si>
    <t>2001-04-24</t>
  </si>
  <si>
    <t>1997-02-14</t>
  </si>
  <si>
    <t>14776027:eng</t>
  </si>
  <si>
    <t>4496667</t>
  </si>
  <si>
    <t>991004660649702656</t>
  </si>
  <si>
    <t>2268741010002656</t>
  </si>
  <si>
    <t>9780807813416</t>
  </si>
  <si>
    <t>32285002438389</t>
  </si>
  <si>
    <t>893901492</t>
  </si>
  <si>
    <t>D16.14 .I55 1994</t>
  </si>
  <si>
    <t>0                      D  0016140I  55          1994</t>
  </si>
  <si>
    <t>Interactive oral history interviewing / edited by Eva M. McMahan, Kim Lacy Rogers.</t>
  </si>
  <si>
    <t>Hillsdale, N.J. : L. Erlbaum Associates, 1994.</t>
  </si>
  <si>
    <t>1994</t>
  </si>
  <si>
    <t>LEA's communication series</t>
  </si>
  <si>
    <t>354067553:eng</t>
  </si>
  <si>
    <t>30109725</t>
  </si>
  <si>
    <t>991002320919702656</t>
  </si>
  <si>
    <t>2263612080002656</t>
  </si>
  <si>
    <t>9780805805765</t>
  </si>
  <si>
    <t>32285002478112</t>
  </si>
  <si>
    <t>893408957</t>
  </si>
  <si>
    <t>D16.15 .K67 2002</t>
  </si>
  <si>
    <t>0                      D  0016150K  67          2002</t>
  </si>
  <si>
    <t>The practice of conceptual history : timing history, spacing concepts / Reinhart Koselleck ; translated by Todd Samuel Presner and others ; foreword by Hayden White.</t>
  </si>
  <si>
    <t>Koselleck, Reinhart.</t>
  </si>
  <si>
    <t>Stanford, Calif. : Stanford University Press, 2002.</t>
  </si>
  <si>
    <t>Cultural memory in the present</t>
  </si>
  <si>
    <t>2004-03-17</t>
  </si>
  <si>
    <t>1058284:eng</t>
  </si>
  <si>
    <t>48951684</t>
  </si>
  <si>
    <t>991004246859702656</t>
  </si>
  <si>
    <t>2268863350002656</t>
  </si>
  <si>
    <t>9780804740227</t>
  </si>
  <si>
    <t>32285004895040</t>
  </si>
  <si>
    <t>893353305</t>
  </si>
  <si>
    <t>D16.16 .D4</t>
  </si>
  <si>
    <t>0                      D  0016160D  4</t>
  </si>
  <si>
    <t>Foundations of psychohistory / Lloyd DeMause.</t>
  </si>
  <si>
    <t>DeMause, Lloyd.</t>
  </si>
  <si>
    <t>New York : Creative Roots, c1982.</t>
  </si>
  <si>
    <t>565336:eng</t>
  </si>
  <si>
    <t>8018969</t>
  </si>
  <si>
    <t>991005192359702656</t>
  </si>
  <si>
    <t>2263114410002656</t>
  </si>
  <si>
    <t>9780940508019</t>
  </si>
  <si>
    <t>32285000211812</t>
  </si>
  <si>
    <t>893431016</t>
  </si>
  <si>
    <t>D16.16 .L64 1983</t>
  </si>
  <si>
    <t>0                      D  0016160L  64          1983</t>
  </si>
  <si>
    <t>Decoding the past : the psychohistorical approach / Peter Loewenberg.</t>
  </si>
  <si>
    <t>Loewenberg, Peter, 1933-</t>
  </si>
  <si>
    <t>New York : Knopf : Distributed by Random House, 1983, c1982.</t>
  </si>
  <si>
    <t>462290:eng</t>
  </si>
  <si>
    <t>8590264</t>
  </si>
  <si>
    <t>991000027459702656</t>
  </si>
  <si>
    <t>2271994440002656</t>
  </si>
  <si>
    <t>9780394481524</t>
  </si>
  <si>
    <t>32285000211820</t>
  </si>
  <si>
    <t>893783889</t>
  </si>
  <si>
    <t>D16.16 L38 1988</t>
  </si>
  <si>
    <t>0                      D  0016160L  38          1988</t>
  </si>
  <si>
    <t>The psychohistorian's handbook / Henry Lawton.</t>
  </si>
  <si>
    <t>Lawton, Henry, 1941-</t>
  </si>
  <si>
    <t>New York, N.Y., U.S.A. : Psychohistory Press, c1988.</t>
  </si>
  <si>
    <t>1995-05-05</t>
  </si>
  <si>
    <t>16578027:eng</t>
  </si>
  <si>
    <t>18165574</t>
  </si>
  <si>
    <t>991001314429702656</t>
  </si>
  <si>
    <t>2258294190002656</t>
  </si>
  <si>
    <t>9780914434276</t>
  </si>
  <si>
    <t>32285001167336</t>
  </si>
  <si>
    <t>893785024</t>
  </si>
  <si>
    <t>D16.163 .L43 1992</t>
  </si>
  <si>
    <t>0                      D  0016163L  43          1992</t>
  </si>
  <si>
    <t>Public history readings / [edited by] Phyllis K. Leffler and Joseph Brent.</t>
  </si>
  <si>
    <t>Malabar, Fla. : Krieger, 1992.</t>
  </si>
  <si>
    <t>flu</t>
  </si>
  <si>
    <t>Public history series</t>
  </si>
  <si>
    <t>1998-03-29</t>
  </si>
  <si>
    <t>1994-05-24</t>
  </si>
  <si>
    <t>932454:eng</t>
  </si>
  <si>
    <t>20852879</t>
  </si>
  <si>
    <t>991001626309702656</t>
  </si>
  <si>
    <t>2264911550002656</t>
  </si>
  <si>
    <t>9780894644344</t>
  </si>
  <si>
    <t>32285001897882</t>
  </si>
  <si>
    <t>893772709</t>
  </si>
  <si>
    <t>D16.163 .P37 1987</t>
  </si>
  <si>
    <t>0                      D  0016163P  37          1987</t>
  </si>
  <si>
    <t>Past meets present : essays about historic interpretation and public audiences / Jo Blatti, editor. Photographs by Patricia Layman Bazelon.</t>
  </si>
  <si>
    <t>Washington, D.C. : Smithsonian Institution Press, 1987.</t>
  </si>
  <si>
    <t>836699722:eng</t>
  </si>
  <si>
    <t>15017371</t>
  </si>
  <si>
    <t>991000978279702656</t>
  </si>
  <si>
    <t>2265051840002656</t>
  </si>
  <si>
    <t>9780874742336</t>
  </si>
  <si>
    <t>32285001167385</t>
  </si>
  <si>
    <t>893407710</t>
  </si>
  <si>
    <t>D16.2 .B25 1994</t>
  </si>
  <si>
    <t>0                      D  0016200B  25          1994</t>
  </si>
  <si>
    <t>On the teaching and writing of history : responses to a series of questions / Bernard Bailyn ; edited by Edward Connery Lathem.</t>
  </si>
  <si>
    <t>Bailyn, Bernard.</t>
  </si>
  <si>
    <t>Hanover, NH : Montgomery Endowment, Dartmouth College : Distributed by University Press of New England, c1994.</t>
  </si>
  <si>
    <t>nhu</t>
  </si>
  <si>
    <t>1996-04-10</t>
  </si>
  <si>
    <t>1996-03-15</t>
  </si>
  <si>
    <t>34391155:eng</t>
  </si>
  <si>
    <t>32232251</t>
  </si>
  <si>
    <t>991002474779702656</t>
  </si>
  <si>
    <t>2265949980002656</t>
  </si>
  <si>
    <t>9780874517125</t>
  </si>
  <si>
    <t>32285002143443</t>
  </si>
  <si>
    <t>893792509</t>
  </si>
  <si>
    <t>D16.25 .F4313 2003</t>
  </si>
  <si>
    <t>0                      D  0016250F  4313        2003</t>
  </si>
  <si>
    <t>The use and abuse of history; or, How the past is taught to children / Marc Ferro, with a new preface by the author ; translated by Norman Stone and Andrew Brown.</t>
  </si>
  <si>
    <t>Ferro, Marc.</t>
  </si>
  <si>
    <t>London ; New York : Routledge, 2003.</t>
  </si>
  <si>
    <t>2003</t>
  </si>
  <si>
    <t>Routledge classics</t>
  </si>
  <si>
    <t>2004-01-28</t>
  </si>
  <si>
    <t>4918006753:eng</t>
  </si>
  <si>
    <t>52602748</t>
  </si>
  <si>
    <t>991004218849702656</t>
  </si>
  <si>
    <t>2263006550002656</t>
  </si>
  <si>
    <t>9780415285926</t>
  </si>
  <si>
    <t>32285004636311</t>
  </si>
  <si>
    <t>893235214</t>
  </si>
  <si>
    <t>D16.3 .S96 2002</t>
  </si>
  <si>
    <t>0                      D  0016300S  96          2002</t>
  </si>
  <si>
    <t>Whose history? : the struggle for national standards in American classrooms / Linda Symcox.</t>
  </si>
  <si>
    <t>Symcox, Linda.</t>
  </si>
  <si>
    <t>New York : Teachers College Press, c2002.</t>
  </si>
  <si>
    <t>2003-10-06</t>
  </si>
  <si>
    <t>794341827:eng</t>
  </si>
  <si>
    <t>49239896</t>
  </si>
  <si>
    <t>991004134169702656</t>
  </si>
  <si>
    <t>2266878280002656</t>
  </si>
  <si>
    <t>9780807742310</t>
  </si>
  <si>
    <t>32285004786793</t>
  </si>
  <si>
    <t>893331233</t>
  </si>
  <si>
    <t>D16.4.G7 P67 1987</t>
  </si>
  <si>
    <t>0                      D  0016400G  7                  P  67          1987</t>
  </si>
  <si>
    <t>The history curriculum for teachers / edited by Christopher Portal.</t>
  </si>
  <si>
    <t>Portal, Christopher.</t>
  </si>
  <si>
    <t>London ; New York : Falmer Press, 1987.</t>
  </si>
  <si>
    <t>1991-12-11</t>
  </si>
  <si>
    <t>8511607:eng</t>
  </si>
  <si>
    <t>14965494</t>
  </si>
  <si>
    <t>991000972239702656</t>
  </si>
  <si>
    <t>2268509390002656</t>
  </si>
  <si>
    <t>9781850001669</t>
  </si>
  <si>
    <t>32285000900638</t>
  </si>
  <si>
    <t>893438752</t>
  </si>
  <si>
    <t>D16.7 .P45 2000</t>
  </si>
  <si>
    <t>0                      D  0016700P  45          2000</t>
  </si>
  <si>
    <t>Philosophies of history : from enlightenment to post-modernity / introduced and edited by Robert M. Burns and Hugh Rayment-Pickard.</t>
  </si>
  <si>
    <t>Oxford, UK ; Malden, Mass. : Blackwell Publishers, 2000.</t>
  </si>
  <si>
    <t>2002-03-07</t>
  </si>
  <si>
    <t>2001-03-26</t>
  </si>
  <si>
    <t>891149511:eng</t>
  </si>
  <si>
    <t>42780326</t>
  </si>
  <si>
    <t>991003490399702656</t>
  </si>
  <si>
    <t>2258484220002656</t>
  </si>
  <si>
    <t>9780631212362</t>
  </si>
  <si>
    <t>32285004307244</t>
  </si>
  <si>
    <t>893422616</t>
  </si>
  <si>
    <t>D16.8 .A6352 1992</t>
  </si>
  <si>
    <t>0                      D  0016800A  6352        1992</t>
  </si>
  <si>
    <t>A zone of engagement / Perry Anderson.</t>
  </si>
  <si>
    <t>Anderson, Perry.</t>
  </si>
  <si>
    <t>London ; New York : Verso, 1992.</t>
  </si>
  <si>
    <t>1994-04-15</t>
  </si>
  <si>
    <t>1994-03-11</t>
  </si>
  <si>
    <t>25475356:eng</t>
  </si>
  <si>
    <t>26443277</t>
  </si>
  <si>
    <t>991002066469702656</t>
  </si>
  <si>
    <t>2262673080002656</t>
  </si>
  <si>
    <t>9780860913771</t>
  </si>
  <si>
    <t>32285001845006</t>
  </si>
  <si>
    <t>893785667</t>
  </si>
  <si>
    <t>D16.8 .B8 1949</t>
  </si>
  <si>
    <t>0                      D  0016800B  8           1949</t>
  </si>
  <si>
    <t>Weltgeschichtliche Betrachtungen : historisch-kritische Gesamtausgabe / Jacob Burckhardt ; mit einer Einleitung und textkritischem Anhang von Rudolf Stadelmann.</t>
  </si>
  <si>
    <t>Burckhardt, Jacob, 1818-1897.</t>
  </si>
  <si>
    <t>Pfullingen : G. Neske, c1949.</t>
  </si>
  <si>
    <t>1949</t>
  </si>
  <si>
    <t>2001-07-24</t>
  </si>
  <si>
    <t>2001-07-23</t>
  </si>
  <si>
    <t>4919178932:ger</t>
  </si>
  <si>
    <t>10043246</t>
  </si>
  <si>
    <t>991003583659702656</t>
  </si>
  <si>
    <t>2257645170002656</t>
  </si>
  <si>
    <t>32285004334230</t>
  </si>
  <si>
    <t>893330476</t>
  </si>
  <si>
    <t>D16.8 .D23 1985</t>
  </si>
  <si>
    <t>0                      D  0016800D  23          1985</t>
  </si>
  <si>
    <t>Narration and knowledge : including the integral text of Analytical philosophy of history / by Arthur C. Danto.</t>
  </si>
  <si>
    <t>Danto, Arthur C., 1924-2013.</t>
  </si>
  <si>
    <t>New York : Columbia University Press, 1985.</t>
  </si>
  <si>
    <t>2004-10-24</t>
  </si>
  <si>
    <t>197787081:eng</t>
  </si>
  <si>
    <t>11599669</t>
  </si>
  <si>
    <t>991000562809702656</t>
  </si>
  <si>
    <t>2261468540002656</t>
  </si>
  <si>
    <t>9780231061179</t>
  </si>
  <si>
    <t>32285001167534</t>
  </si>
  <si>
    <t>893714695</t>
  </si>
  <si>
    <t>D16.8 .D7</t>
  </si>
  <si>
    <t>0                      D  0016800D  7</t>
  </si>
  <si>
    <t>Philosophy of history.</t>
  </si>
  <si>
    <t>Englewood Cliffs, N.J. : Prentice-Hall, [1964]</t>
  </si>
  <si>
    <t>Foundations of philosophy series</t>
  </si>
  <si>
    <t>1991-12-04</t>
  </si>
  <si>
    <t>1528526:eng</t>
  </si>
  <si>
    <t>392087</t>
  </si>
  <si>
    <t>991002662969702656</t>
  </si>
  <si>
    <t>2263535390002656</t>
  </si>
  <si>
    <t>32285000846161</t>
  </si>
  <si>
    <t>893504662</t>
  </si>
  <si>
    <t>D16.8 .G328</t>
  </si>
  <si>
    <t>0                      D  0016800G  328</t>
  </si>
  <si>
    <t>The philosophy of history / edited by Patrick Gardiner.</t>
  </si>
  <si>
    <t>Gardiner, Patrick L., 1922-1997.</t>
  </si>
  <si>
    <t>London ; New York : Oxford University Press, 1974.</t>
  </si>
  <si>
    <t>Oxford readings in philosophy</t>
  </si>
  <si>
    <t>1996-08-26</t>
  </si>
  <si>
    <t>365323001:eng</t>
  </si>
  <si>
    <t>1230984</t>
  </si>
  <si>
    <t>991003637259702656</t>
  </si>
  <si>
    <t>2261779920002656</t>
  </si>
  <si>
    <t>9780198750314</t>
  </si>
  <si>
    <t>32285002288636</t>
  </si>
  <si>
    <t>893258648</t>
  </si>
  <si>
    <t>D16.8 .G413 1989</t>
  </si>
  <si>
    <t>0                      D  0016800G  413         1989</t>
  </si>
  <si>
    <t>Plough, sword, and book : the structure of human history / Ernest Gellner.</t>
  </si>
  <si>
    <t>Gellner, Ernest.</t>
  </si>
  <si>
    <t>Chicago : University of Chicago Press, 1989, c1988.</t>
  </si>
  <si>
    <t>1999-04-05</t>
  </si>
  <si>
    <t>1990-05-08</t>
  </si>
  <si>
    <t>15526713:eng</t>
  </si>
  <si>
    <t>18963235</t>
  </si>
  <si>
    <t>991001420079702656</t>
  </si>
  <si>
    <t>2263144690002656</t>
  </si>
  <si>
    <t>9780226287010</t>
  </si>
  <si>
    <t>32285000135235</t>
  </si>
  <si>
    <t>893690619</t>
  </si>
  <si>
    <t>D16.8 .G532 1990</t>
  </si>
  <si>
    <t>0                      D  0016800G  532         1990</t>
  </si>
  <si>
    <t>History : politics or culture? : reflections on Ranke and Burckhardt / Felix Gilbert.</t>
  </si>
  <si>
    <t>Gilbert, Felix, 1905-1991.</t>
  </si>
  <si>
    <t>Princeton, N.J. : Princeton University Press, c1990.</t>
  </si>
  <si>
    <t>1991-10-10</t>
  </si>
  <si>
    <t>3902712140:eng</t>
  </si>
  <si>
    <t>21559758</t>
  </si>
  <si>
    <t>991001704629702656</t>
  </si>
  <si>
    <t>2272457770002656</t>
  </si>
  <si>
    <t>9780691031637</t>
  </si>
  <si>
    <t>32285000726116</t>
  </si>
  <si>
    <t>893503612</t>
  </si>
  <si>
    <t>D16.8 .G535 1984</t>
  </si>
  <si>
    <t>0                      D  0016800G  535         1984</t>
  </si>
  <si>
    <t>Hegel, Heidegger, and the ground of history / Michael Allen Gillespie.</t>
  </si>
  <si>
    <t>Gillespie, Michael Allen.</t>
  </si>
  <si>
    <t>Chicago : University of Chicago Press, c1984.</t>
  </si>
  <si>
    <t>1993-02-13</t>
  </si>
  <si>
    <t>2834282:eng</t>
  </si>
  <si>
    <t>10605103</t>
  </si>
  <si>
    <t>991000397829702656</t>
  </si>
  <si>
    <t>2258769380002656</t>
  </si>
  <si>
    <t>9780226293769</t>
  </si>
  <si>
    <t>32285001167575</t>
  </si>
  <si>
    <t>893249305</t>
  </si>
  <si>
    <t>D16.8 .G646 1979</t>
  </si>
  <si>
    <t>0                      D  0016800G  646         1979</t>
  </si>
  <si>
    <t>Ideals and idols : essays on values in history and in art / E. H. Gombrich.</t>
  </si>
  <si>
    <t>Gombrich, E. H. (Ernst Hans), 1909-2001.</t>
  </si>
  <si>
    <t>Oxford [Eng.] : Phaidon, 1979.</t>
  </si>
  <si>
    <t>1993-05-03</t>
  </si>
  <si>
    <t>308575724:eng</t>
  </si>
  <si>
    <t>6014456</t>
  </si>
  <si>
    <t>991004914339702656</t>
  </si>
  <si>
    <t>2267162210002656</t>
  </si>
  <si>
    <t>9780714820095</t>
  </si>
  <si>
    <t>32285001167583</t>
  </si>
  <si>
    <t>893338274</t>
  </si>
  <si>
    <t>D16.8 .H4916 1993</t>
  </si>
  <si>
    <t>0                      D  0016800H  4916        1993</t>
  </si>
  <si>
    <t>A philosophy of history in fragments / Agnes Heller.</t>
  </si>
  <si>
    <t>Heller, Ágnes.</t>
  </si>
  <si>
    <t>Oxford, UK ; Cambridge, Mass., USA : Blackwell, 1993.</t>
  </si>
  <si>
    <t>1993-12-16</t>
  </si>
  <si>
    <t>20596547:eng</t>
  </si>
  <si>
    <t>25915590</t>
  </si>
  <si>
    <t>991005415389702656</t>
  </si>
  <si>
    <t>2269873510002656</t>
  </si>
  <si>
    <t>9780631187554</t>
  </si>
  <si>
    <t>32285001816619</t>
  </si>
  <si>
    <t>893871148</t>
  </si>
  <si>
    <t>D16.8 .H6253 1983</t>
  </si>
  <si>
    <t>0                      D  0016800H  6253        1983</t>
  </si>
  <si>
    <t>The History of ideas : an introduction to method / edited by Preston King.</t>
  </si>
  <si>
    <t>Totowa, N.J. : Barnes &amp; Noble Books ; England : Croom Helm, 1983.</t>
  </si>
  <si>
    <t>2000-03-06</t>
  </si>
  <si>
    <t>836623445:eng</t>
  </si>
  <si>
    <t>9683439</t>
  </si>
  <si>
    <t>991000240729702656</t>
  </si>
  <si>
    <t>2262081410002656</t>
  </si>
  <si>
    <t>9780389204350</t>
  </si>
  <si>
    <t>32285001167617</t>
  </si>
  <si>
    <t>893695708</t>
  </si>
  <si>
    <t>D16.8 .I76 1991</t>
  </si>
  <si>
    <t>0                      D  0016800I  76          1991</t>
  </si>
  <si>
    <t>Isaiah Berlin : a celebration / edited by Edna and Avishai Margalit.</t>
  </si>
  <si>
    <t>Chicago : University of Chicago Press, 1991.</t>
  </si>
  <si>
    <t>1992-08-11</t>
  </si>
  <si>
    <t>1991-12-17</t>
  </si>
  <si>
    <t>837052284:eng</t>
  </si>
  <si>
    <t>23766286</t>
  </si>
  <si>
    <t>991001884349702656</t>
  </si>
  <si>
    <t>2269507430002656</t>
  </si>
  <si>
    <t>9780226840963</t>
  </si>
  <si>
    <t>32285000860949</t>
  </si>
  <si>
    <t>893602956</t>
  </si>
  <si>
    <t>D16.8 .K37 1998</t>
  </si>
  <si>
    <t>0                      D  0016800K  37          1998</t>
  </si>
  <si>
    <t>Faces of history : historical inquiry from Herodotus to Herder / Donald R. Kelley.</t>
  </si>
  <si>
    <t>Kelley, Donald R., 1931-</t>
  </si>
  <si>
    <t>New Haven : Yale University Press, c1998.</t>
  </si>
  <si>
    <t>2005-06-27</t>
  </si>
  <si>
    <t>2000-01-11</t>
  </si>
  <si>
    <t>10541116:eng</t>
  </si>
  <si>
    <t>38248962</t>
  </si>
  <si>
    <t>991002900679702656</t>
  </si>
  <si>
    <t>2269887710002656</t>
  </si>
  <si>
    <t>9780300073089</t>
  </si>
  <si>
    <t>32285003640249</t>
  </si>
  <si>
    <t>893886881</t>
  </si>
  <si>
    <t>D16.8 .K52 1963</t>
  </si>
  <si>
    <t>0                      D  0016800K  52          1963</t>
  </si>
  <si>
    <t>Philosophy &amp; history; essays presented to Ernst Cassirer. Edited by Raymond Klibansky and H. J. Paton.</t>
  </si>
  <si>
    <t>Klibansky, Raymond, 1905-2005 editor.</t>
  </si>
  <si>
    <t>New York, Harper &amp; Row [1963]</t>
  </si>
  <si>
    <t>Harper Torchbooks. The Academy library</t>
  </si>
  <si>
    <t>890737052:eng</t>
  </si>
  <si>
    <t>1285979</t>
  </si>
  <si>
    <t>991003669269702656</t>
  </si>
  <si>
    <t>2265481100002656</t>
  </si>
  <si>
    <t>32285002288743</t>
  </si>
  <si>
    <t>893336778</t>
  </si>
  <si>
    <t>D16.8 .L46 2003</t>
  </si>
  <si>
    <t>0                      D  0016800L  46          2003</t>
  </si>
  <si>
    <t>Philosophy of history : a guide for students / M.C. Lemon.</t>
  </si>
  <si>
    <t>Lemon, M. C. (Michael C.), 1945-</t>
  </si>
  <si>
    <t>London ; New York Routledge, 2003.</t>
  </si>
  <si>
    <t>2005-05-01</t>
  </si>
  <si>
    <t>2004-02-24</t>
  </si>
  <si>
    <t>796428004:eng</t>
  </si>
  <si>
    <t>70207507</t>
  </si>
  <si>
    <t>991004219059702656</t>
  </si>
  <si>
    <t>2261813180002656</t>
  </si>
  <si>
    <t>9780415162043</t>
  </si>
  <si>
    <t>32285004890215</t>
  </si>
  <si>
    <t>893781980</t>
  </si>
  <si>
    <t>D16.8 .M26 1967</t>
  </si>
  <si>
    <t>0                      D  0016800M  26          1967</t>
  </si>
  <si>
    <t>The problem of historical knowledge; an answer to relativism, by Maurice Mandelbaum. Pref. by the author.</t>
  </si>
  <si>
    <t>Mandelbaum, Maurice, 1908-1987.</t>
  </si>
  <si>
    <t>New York, Harper &amp; Row [1967]</t>
  </si>
  <si>
    <t>Harper torchbooks ; TB1338</t>
  </si>
  <si>
    <t>198062470:eng</t>
  </si>
  <si>
    <t>429403</t>
  </si>
  <si>
    <t>991002762099702656</t>
  </si>
  <si>
    <t>2264501790002656</t>
  </si>
  <si>
    <t>32285002288784</t>
  </si>
  <si>
    <t>893627296</t>
  </si>
  <si>
    <t>D16.8 .M37</t>
  </si>
  <si>
    <t>0                      D  0016800M  37</t>
  </si>
  <si>
    <t>The riddle of history; the great speculators from Vico to Freud.</t>
  </si>
  <si>
    <t>Mazlish, Bruce, 1923-2016.</t>
  </si>
  <si>
    <t>New York, Harper &amp; Row [1966]</t>
  </si>
  <si>
    <t>2000-09-23</t>
  </si>
  <si>
    <t>1528901:eng</t>
  </si>
  <si>
    <t>392231</t>
  </si>
  <si>
    <t>991002663549702656</t>
  </si>
  <si>
    <t>2263548210002656</t>
  </si>
  <si>
    <t>32285002288818</t>
  </si>
  <si>
    <t>893685626</t>
  </si>
  <si>
    <t>D16.8 .M39 1986</t>
  </si>
  <si>
    <t>0                      D  0016800M  39          1986</t>
  </si>
  <si>
    <t>Mythistory and other essays / William H. McNeill.</t>
  </si>
  <si>
    <t>McNeill, William Hardy, 1917-2016.</t>
  </si>
  <si>
    <t>Chicago : University of Chicago Press, 1986.</t>
  </si>
  <si>
    <t>2003-01-31</t>
  </si>
  <si>
    <t>4360082:eng</t>
  </si>
  <si>
    <t>12051232</t>
  </si>
  <si>
    <t>991000629229702656</t>
  </si>
  <si>
    <t>2268621240002656</t>
  </si>
  <si>
    <t>9780226561356</t>
  </si>
  <si>
    <t>32285001167641</t>
  </si>
  <si>
    <t>893225162</t>
  </si>
  <si>
    <t>D16.8 .M62 1924</t>
  </si>
  <si>
    <t>0                      D  0016800M  62          1924</t>
  </si>
  <si>
    <t>Kleine Schriften / von Eduard Meyer.</t>
  </si>
  <si>
    <t>V. 1</t>
  </si>
  <si>
    <t>Meyer, Eduard, 1855-1930.</t>
  </si>
  <si>
    <t>Halle (Saale): M.Niemeyer, 1924.</t>
  </si>
  <si>
    <t>2003-12-18</t>
  </si>
  <si>
    <t>4575171266:ger</t>
  </si>
  <si>
    <t>1180941</t>
  </si>
  <si>
    <t>991004182699702656</t>
  </si>
  <si>
    <t>2256496660002656</t>
  </si>
  <si>
    <t>32285004848213</t>
  </si>
  <si>
    <t>893599524</t>
  </si>
  <si>
    <t>V. 2</t>
  </si>
  <si>
    <t>32285004848296</t>
  </si>
  <si>
    <t>893605725</t>
  </si>
  <si>
    <t>D16.8 .M867</t>
  </si>
  <si>
    <t>0                      D  0016800M  867</t>
  </si>
  <si>
    <t>The shapes of time : a new look at the philosophy of history / by Peter Munz.</t>
  </si>
  <si>
    <t>Munz, Peter, 1921-2006.</t>
  </si>
  <si>
    <t>Middletown, Conn. : Wesleyan University Press, c1977.</t>
  </si>
  <si>
    <t>1977</t>
  </si>
  <si>
    <t>1997-01-29</t>
  </si>
  <si>
    <t>1990-02-08</t>
  </si>
  <si>
    <t>308747607:eng</t>
  </si>
  <si>
    <t>3072760</t>
  </si>
  <si>
    <t>991004335839702656</t>
  </si>
  <si>
    <t>2265190600002656</t>
  </si>
  <si>
    <t>9780819550170</t>
  </si>
  <si>
    <t>32285000033828</t>
  </si>
  <si>
    <t>893247456</t>
  </si>
  <si>
    <t>D16.8 .O94 1994</t>
  </si>
  <si>
    <t>0                      D  0016800O  94          1994</t>
  </si>
  <si>
    <t>Dilthey and the narrative of history / Jacob Owensby.</t>
  </si>
  <si>
    <t>Owensby, Jacob, 1957-</t>
  </si>
  <si>
    <t>Ithaca : Cornell University Press, 1994.</t>
  </si>
  <si>
    <t>1995-02-23</t>
  </si>
  <si>
    <t>1995-02-07</t>
  </si>
  <si>
    <t>32084848:eng</t>
  </si>
  <si>
    <t>30359295</t>
  </si>
  <si>
    <t>991002333239702656</t>
  </si>
  <si>
    <t>2256964010002656</t>
  </si>
  <si>
    <t>9780801430114</t>
  </si>
  <si>
    <t>32285001997740</t>
  </si>
  <si>
    <t>893440043</t>
  </si>
  <si>
    <t>D16.8 .P33813 1996</t>
  </si>
  <si>
    <t>0                      D  0016800P  33813       1996</t>
  </si>
  <si>
    <t>Heretical essays in the philosophy of history / Jan Patočka ; translated by Erazim Kohák ; edited by James Dodd ; with Paul Ricoeur's preface to the French edition.</t>
  </si>
  <si>
    <t>Patočka, Jan, 1907-1977.</t>
  </si>
  <si>
    <t>Chicago : Open Court, c1996.</t>
  </si>
  <si>
    <t>1997-07-07</t>
  </si>
  <si>
    <t>1997-02-05</t>
  </si>
  <si>
    <t>2260909788:eng</t>
  </si>
  <si>
    <t>35270049</t>
  </si>
  <si>
    <t>991002701609702656</t>
  </si>
  <si>
    <t>2257490640002656</t>
  </si>
  <si>
    <t>9780812693362</t>
  </si>
  <si>
    <t>32285002414141</t>
  </si>
  <si>
    <t>893498445</t>
  </si>
  <si>
    <t>D16.8 .P453 2004</t>
  </si>
  <si>
    <t>0                      D  0016800P  453         2004</t>
  </si>
  <si>
    <t>The philosophy of history : a re-examination / edited by William Sweet.</t>
  </si>
  <si>
    <t>Aldershot, Hants, England ; Burlington, VT : Ashgate, c2004.</t>
  </si>
  <si>
    <t>2004</t>
  </si>
  <si>
    <t>2005-10-05</t>
  </si>
  <si>
    <t>840054003:eng</t>
  </si>
  <si>
    <t>52575886</t>
  </si>
  <si>
    <t>991004649589702656</t>
  </si>
  <si>
    <t>2258176170002656</t>
  </si>
  <si>
    <t>9780754631705</t>
  </si>
  <si>
    <t>32285005087878</t>
  </si>
  <si>
    <t>893895244</t>
  </si>
  <si>
    <t>D16.8 .S28 1848</t>
  </si>
  <si>
    <t>0                      D  0016800S  28          1848</t>
  </si>
  <si>
    <t>The philosophy of history, in a course of lectures, delivered at Vienna / By Frederick von Schlegel. Translated from the German, with a memoir of the author, by James Burton Robertson.</t>
  </si>
  <si>
    <t>Schlegel, Friedrich von, 1772-1829.</t>
  </si>
  <si>
    <t>London : Bohn, 1848.</t>
  </si>
  <si>
    <t>1848</t>
  </si>
  <si>
    <t>6th ed., rev.</t>
  </si>
  <si>
    <t>Bohn's standard library</t>
  </si>
  <si>
    <t>2000-10-07</t>
  </si>
  <si>
    <t>39240513:eng</t>
  </si>
  <si>
    <t>12796173</t>
  </si>
  <si>
    <t>991000736909702656</t>
  </si>
  <si>
    <t>2260955070002656</t>
  </si>
  <si>
    <t>32285002288933</t>
  </si>
  <si>
    <t>893321299</t>
  </si>
  <si>
    <t>D16.8 .S92</t>
  </si>
  <si>
    <t>0                      D  0016800S  92</t>
  </si>
  <si>
    <t>Substance and form in history : a collection of essays in philosophy of history / edited by L. Pompa and W.H. Dray.</t>
  </si>
  <si>
    <t>Edinburgh : University of Edinburgh Press, 1981.</t>
  </si>
  <si>
    <t>stk</t>
  </si>
  <si>
    <t>2001-04-27</t>
  </si>
  <si>
    <t>1991-09-26</t>
  </si>
  <si>
    <t>836688386:eng</t>
  </si>
  <si>
    <t>8277904</t>
  </si>
  <si>
    <t>991005394539702656</t>
  </si>
  <si>
    <t>2265861840002656</t>
  </si>
  <si>
    <t>9780852244135</t>
  </si>
  <si>
    <t>32285000762541</t>
  </si>
  <si>
    <t>893902662</t>
  </si>
  <si>
    <t>D16.8 .U8</t>
  </si>
  <si>
    <t>0                      D  0016800U  8</t>
  </si>
  <si>
    <t>The Uses of history; essays in intellectual and social history. Presented to William J. Bossenbrook. Compiled and edited by Hayden V. White. With a foreword by Alfred H. Kelly.</t>
  </si>
  <si>
    <t>Detroit, Wayne State University Press, 1968.</t>
  </si>
  <si>
    <t>2001-09-19</t>
  </si>
  <si>
    <t>308807003:eng</t>
  </si>
  <si>
    <t>437489</t>
  </si>
  <si>
    <t>991002772269702656</t>
  </si>
  <si>
    <t>2267908850002656</t>
  </si>
  <si>
    <t>32285002289014</t>
  </si>
  <si>
    <t>893880396</t>
  </si>
  <si>
    <t>D16.8 .W28 1967</t>
  </si>
  <si>
    <t>0                      D  0016800W  28          1967</t>
  </si>
  <si>
    <t>An introduction to philosophy of history / [by] W. H. Walsh.</t>
  </si>
  <si>
    <t>Walsh, W. H. (William Henry)</t>
  </si>
  <si>
    <t>London : Hutchinson, c1967, 1979 printing.</t>
  </si>
  <si>
    <t>3rd revised ed.</t>
  </si>
  <si>
    <t>Hutchinson University Library. Philosophy</t>
  </si>
  <si>
    <t>1996-06-03</t>
  </si>
  <si>
    <t>404066:eng</t>
  </si>
  <si>
    <t>5015307</t>
  </si>
  <si>
    <t>991004763419702656</t>
  </si>
  <si>
    <t>2272038310002656</t>
  </si>
  <si>
    <t>32285001167724</t>
  </si>
  <si>
    <t>893436717</t>
  </si>
  <si>
    <t>D16.8 .W385 2001</t>
  </si>
  <si>
    <t>0                      D  0016800W  385         2001</t>
  </si>
  <si>
    <t>Historisches Denken am Ende des 20. Jahrhunderts, 1945-2000 / Hans-Ulrich Wehler.</t>
  </si>
  <si>
    <t>Wehler, Hans-Ulrich.</t>
  </si>
  <si>
    <t>Göttingen : Wallstein, c2001.</t>
  </si>
  <si>
    <t>2001</t>
  </si>
  <si>
    <t>Essener kulturwissenschaftliche Vorträge ; Bd. 11</t>
  </si>
  <si>
    <t>2003-04-28</t>
  </si>
  <si>
    <t>4160519101:ger</t>
  </si>
  <si>
    <t>46930593</t>
  </si>
  <si>
    <t>991004032839702656</t>
  </si>
  <si>
    <t>2272207470002656</t>
  </si>
  <si>
    <t>9783892444305</t>
  </si>
  <si>
    <t>32285004743943</t>
  </si>
  <si>
    <t>893411028</t>
  </si>
  <si>
    <t>D16.8.M294 F4 1971</t>
  </si>
  <si>
    <t>0                      D  0016800M  294                F  4           1971</t>
  </si>
  <si>
    <t>The materialist conception of history : a critical analysis / by Karl Federn.</t>
  </si>
  <si>
    <t>Federn, Karl, 1868-1942.</t>
  </si>
  <si>
    <t>Westport, Conn. : Greenwood Press, [1971]</t>
  </si>
  <si>
    <t>2002-11-26</t>
  </si>
  <si>
    <t>1991-08-28</t>
  </si>
  <si>
    <t>500125:eng</t>
  </si>
  <si>
    <t>146283</t>
  </si>
  <si>
    <t>991000826599702656</t>
  </si>
  <si>
    <t>2256389820002656</t>
  </si>
  <si>
    <t>9780837147895</t>
  </si>
  <si>
    <t>32285000731348</t>
  </si>
  <si>
    <t>893243625</t>
  </si>
  <si>
    <t>D16.8.R842 B4 1973</t>
  </si>
  <si>
    <t>0                      D  0016800R  842                B  4           1973</t>
  </si>
  <si>
    <t>Between past and present; an essay on history. With a foreword by Martin Buber.</t>
  </si>
  <si>
    <t>Rotenstreich, Nathan, 1914-1993.</t>
  </si>
  <si>
    <t>Port Washington, N.Y., Kennikat Press [1973, c1958]</t>
  </si>
  <si>
    <t>1998-12-06</t>
  </si>
  <si>
    <t>145058134:eng</t>
  </si>
  <si>
    <t>508419</t>
  </si>
  <si>
    <t>991002886109702656</t>
  </si>
  <si>
    <t>2261096920002656</t>
  </si>
  <si>
    <t>9780804617284</t>
  </si>
  <si>
    <t>32285002288917</t>
  </si>
  <si>
    <t>893793055</t>
  </si>
  <si>
    <t>D16.9 .A46 1994</t>
  </si>
  <si>
    <t>0                      D  0016900A  46          1994</t>
  </si>
  <si>
    <t>After history? : Francis Fukuyama and his critics / edited by Timothy Burns.</t>
  </si>
  <si>
    <t>Lanham, Md. : Littlefield Adams Quality Paperbacks ; Rowman &amp; Littlefield, c1994.</t>
  </si>
  <si>
    <t>mdu</t>
  </si>
  <si>
    <t>2003-05-05</t>
  </si>
  <si>
    <t>1995-11-09</t>
  </si>
  <si>
    <t>836836097:eng</t>
  </si>
  <si>
    <t>30110883</t>
  </si>
  <si>
    <t>991002322269702656</t>
  </si>
  <si>
    <t>2255686820002656</t>
  </si>
  <si>
    <t>9780822630357</t>
  </si>
  <si>
    <t>32285002102464</t>
  </si>
  <si>
    <t>893798446</t>
  </si>
  <si>
    <t>D16.9 .C17 1971</t>
  </si>
  <si>
    <t>0                      D  0016900C  17          1971</t>
  </si>
  <si>
    <t>Philosophies of history : meeting of East and West in cycle-pattern theories of history / [by] Grace E. Cairns.</t>
  </si>
  <si>
    <t>Cairns, Grace E. (Grace Edith), 1907-2000.</t>
  </si>
  <si>
    <t>Westport, Conn. : Greenwood Press, [1971, c1962]</t>
  </si>
  <si>
    <t>1992-12-23</t>
  </si>
  <si>
    <t>1278033:eng</t>
  </si>
  <si>
    <t>134068</t>
  </si>
  <si>
    <t>991000778329702656</t>
  </si>
  <si>
    <t>2260861270002656</t>
  </si>
  <si>
    <t>9780837157429</t>
  </si>
  <si>
    <t>32285001471068</t>
  </si>
  <si>
    <t>893790837</t>
  </si>
  <si>
    <t>D16.9 .C633 1993</t>
  </si>
  <si>
    <t>0                      D  0016900C  633         1993</t>
  </si>
  <si>
    <t>Conceptualizing global history / edited by Bruce Mazlish and Ralph Buultjens.</t>
  </si>
  <si>
    <t>Boulder : Westview Press, 1993.</t>
  </si>
  <si>
    <t>Global history</t>
  </si>
  <si>
    <t>1994-04-25</t>
  </si>
  <si>
    <t>1994-02-01</t>
  </si>
  <si>
    <t>351625134:eng</t>
  </si>
  <si>
    <t>28214094</t>
  </si>
  <si>
    <t>991002193879702656</t>
  </si>
  <si>
    <t>2266023040002656</t>
  </si>
  <si>
    <t>9780813316833</t>
  </si>
  <si>
    <t>32285001833978</t>
  </si>
  <si>
    <t>893798287</t>
  </si>
  <si>
    <t>D16.9 .H69 2000</t>
  </si>
  <si>
    <t>0                      D  0016900H  69          2000</t>
  </si>
  <si>
    <t>Religion and the rise of historicism : W.M.L. de Wette, Jacob Burckhardt, and the theological origins of nineteenth-century historical consciousness / Thomas Albert Howard.</t>
  </si>
  <si>
    <t>Howard, Thomas Albert, 1967-</t>
  </si>
  <si>
    <t>Cambridge, UK ; New York : Cambridge University Press, 2000.</t>
  </si>
  <si>
    <t>2005-10-30</t>
  </si>
  <si>
    <t>2000-08-30</t>
  </si>
  <si>
    <t>27487078:eng</t>
  </si>
  <si>
    <t>40861944</t>
  </si>
  <si>
    <t>991003228989702656</t>
  </si>
  <si>
    <t>2266375130002656</t>
  </si>
  <si>
    <t>9780521650229</t>
  </si>
  <si>
    <t>32285003749404</t>
  </si>
  <si>
    <t>893317765</t>
  </si>
  <si>
    <t>D16.9 .L6</t>
  </si>
  <si>
    <t>0                      D  0016900L  6</t>
  </si>
  <si>
    <t>Meaning in history.</t>
  </si>
  <si>
    <t>Löwith, Karl, 1897-1973.</t>
  </si>
  <si>
    <t>[Chicago] University of Chicago Press [1957, c1949]</t>
  </si>
  <si>
    <t>1957</t>
  </si>
  <si>
    <t>Phoenix books ; P16</t>
  </si>
  <si>
    <t>1999-09-23</t>
  </si>
  <si>
    <t>1996-08-27</t>
  </si>
  <si>
    <t>418780:eng</t>
  </si>
  <si>
    <t>392744</t>
  </si>
  <si>
    <t>991002664679702656</t>
  </si>
  <si>
    <t>2263578150002656</t>
  </si>
  <si>
    <t>32285002289592</t>
  </si>
  <si>
    <t>893698074</t>
  </si>
  <si>
    <t>D16.9 .M26 1977</t>
  </si>
  <si>
    <t>0                      D  0016900M  26          1977</t>
  </si>
  <si>
    <t>The anatomy of historical knowledge / Maurice Mandelbaum.</t>
  </si>
  <si>
    <t>Baltimore : Johns Hopkins University Press, c1977.</t>
  </si>
  <si>
    <t>2003-02-12</t>
  </si>
  <si>
    <t>69726335:eng</t>
  </si>
  <si>
    <t>2525245</t>
  </si>
  <si>
    <t>991003994729702656</t>
  </si>
  <si>
    <t>2272763180002656</t>
  </si>
  <si>
    <t>9780801819292</t>
  </si>
  <si>
    <t>32285004698410</t>
  </si>
  <si>
    <t>893343336</t>
  </si>
  <si>
    <t>D16.9 .M274</t>
  </si>
  <si>
    <t>0                      D  0016900M  274</t>
  </si>
  <si>
    <t>Shapes of philosophical history [by] Frank E. Manuel.</t>
  </si>
  <si>
    <t>Manuel, Frank E. (Frank Edward)</t>
  </si>
  <si>
    <t>Stanford, Calif., Stanford University Press, 1965.</t>
  </si>
  <si>
    <t>The Harry Camp lectures at Stanford University</t>
  </si>
  <si>
    <t>459260:eng</t>
  </si>
  <si>
    <t>392288</t>
  </si>
  <si>
    <t>991002663699702656</t>
  </si>
  <si>
    <t>2263533920002656</t>
  </si>
  <si>
    <t>32285002289626</t>
  </si>
  <si>
    <t>893867520</t>
  </si>
  <si>
    <t>D16.9 .N38 1989</t>
  </si>
  <si>
    <t>0                      D  0016900N  38          1989</t>
  </si>
  <si>
    <t>The New historicism / edited by H. Aram Veeser.</t>
  </si>
  <si>
    <t>New York : Routledge, 1989.</t>
  </si>
  <si>
    <t>2003-10-15</t>
  </si>
  <si>
    <t>1990-01-04</t>
  </si>
  <si>
    <t>55111709:eng</t>
  </si>
  <si>
    <t>18165521</t>
  </si>
  <si>
    <t>991001314339702656</t>
  </si>
  <si>
    <t>2258278700002656</t>
  </si>
  <si>
    <t>9780415900690</t>
  </si>
  <si>
    <t>32285000026145</t>
  </si>
  <si>
    <t>893408033</t>
  </si>
  <si>
    <t>D16.9 .R68 1988</t>
  </si>
  <si>
    <t>0                      D  0016900R  68          1988</t>
  </si>
  <si>
    <t>Knowing and history : appropriations of Hegel in twentieth-century France / Michael S. Roth.</t>
  </si>
  <si>
    <t>Roth, Michael S., 1957-</t>
  </si>
  <si>
    <t>Ithaca : Cornell University Press, 1988.</t>
  </si>
  <si>
    <t>1993-06-22</t>
  </si>
  <si>
    <t>255009477:eng</t>
  </si>
  <si>
    <t>17385636</t>
  </si>
  <si>
    <t>991001211829702656</t>
  </si>
  <si>
    <t>2271974110002656</t>
  </si>
  <si>
    <t>9780801421365</t>
  </si>
  <si>
    <t>32285000492487</t>
  </si>
  <si>
    <t>893250060</t>
  </si>
  <si>
    <t>D160 .C66 1974</t>
  </si>
  <si>
    <t>0                      D  0160000C  66          1974</t>
  </si>
  <si>
    <t>The holy war : [papers] / edited by Thomas Patrick Murphy.</t>
  </si>
  <si>
    <t>Conference on Medieval and Renaissance Studies (5th : 1974 : Ohio State University)</t>
  </si>
  <si>
    <t>Columbus : Ohio State University Press, c1976.</t>
  </si>
  <si>
    <t>ohu</t>
  </si>
  <si>
    <t>2004-03-24</t>
  </si>
  <si>
    <t>1992-11-07</t>
  </si>
  <si>
    <t>3927209:eng</t>
  </si>
  <si>
    <t>2119405</t>
  </si>
  <si>
    <t>991004019029702656</t>
  </si>
  <si>
    <t>2268002480002656</t>
  </si>
  <si>
    <t>9780814202456</t>
  </si>
  <si>
    <t>32285001383545</t>
  </si>
  <si>
    <t>893343359</t>
  </si>
  <si>
    <t>D164 .Q38</t>
  </si>
  <si>
    <t>0                      D  0164000Q  38</t>
  </si>
  <si>
    <t>The Fourth Crusade : the conquest of Constantinople, 1201-1204 / Donald E. Queller.</t>
  </si>
  <si>
    <t>Queller, Donald E.</t>
  </si>
  <si>
    <t>Philadelphia : University of Pennsylvania Press, 1977.</t>
  </si>
  <si>
    <t>The Middle ages</t>
  </si>
  <si>
    <t>2003-04-27</t>
  </si>
  <si>
    <t>1996-09-04</t>
  </si>
  <si>
    <t>3856201071:eng</t>
  </si>
  <si>
    <t>3168067</t>
  </si>
  <si>
    <t>991004362319702656</t>
  </si>
  <si>
    <t>2262284500002656</t>
  </si>
  <si>
    <t>9780812277302</t>
  </si>
  <si>
    <t>32285002299344</t>
  </si>
  <si>
    <t>893882383</t>
  </si>
  <si>
    <t>D164 .Q4</t>
  </si>
  <si>
    <t>0                      D  0164000Q  4</t>
  </si>
  <si>
    <t>The Latin conquest of Constantinople. Edited by Donald E. Queller.</t>
  </si>
  <si>
    <t>Queller, Donald E. compiler.</t>
  </si>
  <si>
    <t>New York, Wiley [1971]</t>
  </si>
  <si>
    <t>Major issues in history</t>
  </si>
  <si>
    <t>1291862:eng</t>
  </si>
  <si>
    <t>137880</t>
  </si>
  <si>
    <t>991000798149702656</t>
  </si>
  <si>
    <t>2261955890002656</t>
  </si>
  <si>
    <t>9780471702474</t>
  </si>
  <si>
    <t>32285002299351</t>
  </si>
  <si>
    <t>893243597</t>
  </si>
  <si>
    <t>D164.A3 B7</t>
  </si>
  <si>
    <t>0                      D  0164000A  3                  B  7</t>
  </si>
  <si>
    <t>The sundered cross : the story of the Fourth Crusade / [by] Ernle Bradford.</t>
  </si>
  <si>
    <t>Bradford, Ernle Dusgate Selby.</t>
  </si>
  <si>
    <t>Englewood Cliffs, N.J. : Prentice-Hall, [1967]</t>
  </si>
  <si>
    <t>2004-04-18</t>
  </si>
  <si>
    <t>197848221:eng</t>
  </si>
  <si>
    <t>392661</t>
  </si>
  <si>
    <t>991002664479702656</t>
  </si>
  <si>
    <t>2263585720002656</t>
  </si>
  <si>
    <t>32285000137157</t>
  </si>
  <si>
    <t>893335557</t>
  </si>
  <si>
    <t>D17 .O62</t>
  </si>
  <si>
    <t>0                      D  0017000O  62</t>
  </si>
  <si>
    <t>The seven books of history against the pagans; the apology of Paulus Orosius, translated with introduction and notes by Irving Woodworth Raymond.</t>
  </si>
  <si>
    <t>Orosius, Paulus.</t>
  </si>
  <si>
    <t>New York, Columbia University Press, 1936.</t>
  </si>
  <si>
    <t>1936</t>
  </si>
  <si>
    <t>Records of civilization; sources and studies no. XXVI</t>
  </si>
  <si>
    <t>4920092772:eng</t>
  </si>
  <si>
    <t>1357346</t>
  </si>
  <si>
    <t>991003714019702656</t>
  </si>
  <si>
    <t>2271750490002656</t>
  </si>
  <si>
    <t>32285002289709</t>
  </si>
  <si>
    <t>893422862</t>
  </si>
  <si>
    <t>D171 .A88 1970</t>
  </si>
  <si>
    <t>0                      D  0171000A  88          1970</t>
  </si>
  <si>
    <t>The crusade in the later Middle Ages / by Aziz S. Atiya.</t>
  </si>
  <si>
    <t>Atiya, Aziz Suryal, 1898-1988.</t>
  </si>
  <si>
    <t>New York : Kraus Reprint Co., 1970.</t>
  </si>
  <si>
    <t>2d ed.</t>
  </si>
  <si>
    <t>2004-04-15</t>
  </si>
  <si>
    <t>1990-03-27</t>
  </si>
  <si>
    <t>61113833:eng</t>
  </si>
  <si>
    <t>128159</t>
  </si>
  <si>
    <t>991000727299702656</t>
  </si>
  <si>
    <t>2261551400002656</t>
  </si>
  <si>
    <t>32285000098631</t>
  </si>
  <si>
    <t>893784473</t>
  </si>
  <si>
    <t>D173 .C47 1997</t>
  </si>
  <si>
    <t>0                      D  0173000C  47          1997</t>
  </si>
  <si>
    <t>The northern crusades / Eric Christiansen.</t>
  </si>
  <si>
    <t>Christiansen, Eric.</t>
  </si>
  <si>
    <t>London : Penguin Books, 1997.</t>
  </si>
  <si>
    <t>[New ed.]</t>
  </si>
  <si>
    <t>1998-08-10</t>
  </si>
  <si>
    <t>1998-07-22</t>
  </si>
  <si>
    <t>892208905:eng</t>
  </si>
  <si>
    <t>38197435</t>
  </si>
  <si>
    <t>991002897449702656</t>
  </si>
  <si>
    <t>2257963240002656</t>
  </si>
  <si>
    <t>9780140266535</t>
  </si>
  <si>
    <t>32285003434650</t>
  </si>
  <si>
    <t>893335870</t>
  </si>
  <si>
    <t>D182 .L3</t>
  </si>
  <si>
    <t>0                      D  0182000L  3</t>
  </si>
  <si>
    <t>Feudal monarchy in the Latin kingdom of Jerusalem, 1100 to 1291 [by] John L. La Monte.</t>
  </si>
  <si>
    <t>La Monte, John L.</t>
  </si>
  <si>
    <t>Cambridge, Mass., The Mediaeval academy of America, 1932.</t>
  </si>
  <si>
    <t>1932</t>
  </si>
  <si>
    <t>Monographs of the Mediaeval Academy of America ; no. 4</t>
  </si>
  <si>
    <t>2005-04-10</t>
  </si>
  <si>
    <t>1996-05-04</t>
  </si>
  <si>
    <t>1529461:eng</t>
  </si>
  <si>
    <t>1950216</t>
  </si>
  <si>
    <t>991003948259702656</t>
  </si>
  <si>
    <t>2270008880002656</t>
  </si>
  <si>
    <t>32285002161197</t>
  </si>
  <si>
    <t>893794301</t>
  </si>
  <si>
    <t>32285002161205</t>
  </si>
  <si>
    <t>893781668</t>
  </si>
  <si>
    <t>D182 .R513</t>
  </si>
  <si>
    <t>0                      D  0182000R  513</t>
  </si>
  <si>
    <t>The Latin kingdom of Jerusalem / by Jean Richard ; translated by Janet Shirley. --</t>
  </si>
  <si>
    <t>Richard, Jean, 1921 February 7-</t>
  </si>
  <si>
    <t>Amsterdam : North-Holland Pub. Co., [1978]</t>
  </si>
  <si>
    <t>Europe in the Middle Ages ; 11</t>
  </si>
  <si>
    <t>146910325:eng</t>
  </si>
  <si>
    <t>3649724</t>
  </si>
  <si>
    <t>991004487039702656</t>
  </si>
  <si>
    <t>2255885910002656</t>
  </si>
  <si>
    <t>9780444850928</t>
  </si>
  <si>
    <t>32285001185692</t>
  </si>
  <si>
    <t>893888776</t>
  </si>
  <si>
    <t>D182 .R513 PT. B</t>
  </si>
  <si>
    <t>0                      D  0182000R  513                                                     PT. B</t>
  </si>
  <si>
    <t>PT. B*</t>
  </si>
  <si>
    <t>32285001185700</t>
  </si>
  <si>
    <t>893869766</t>
  </si>
  <si>
    <t>D184.4 .H36 2000</t>
  </si>
  <si>
    <t>0                      D  0184400H  36          2000</t>
  </si>
  <si>
    <t>The leper king and his heirs : Baldwin IV and the Crusader Kingdom of Jerusalem / Bernard Hamilton.</t>
  </si>
  <si>
    <t>Hamilton, Bernard, 1932-</t>
  </si>
  <si>
    <t>2005-11-12</t>
  </si>
  <si>
    <t>2002-01-08</t>
  </si>
  <si>
    <t>3197813:eng</t>
  </si>
  <si>
    <t>41967018</t>
  </si>
  <si>
    <t>991003695469702656</t>
  </si>
  <si>
    <t>2263247520002656</t>
  </si>
  <si>
    <t>9780521641876</t>
  </si>
  <si>
    <t>32285004446695</t>
  </si>
  <si>
    <t>893234461</t>
  </si>
  <si>
    <t>D199.3 .G5 1982</t>
  </si>
  <si>
    <t>0                      D  0199300G  5           1982</t>
  </si>
  <si>
    <t>Studies on the civilization of Islam / by Hamilton A.R. Gibb ; edited by Stanford J. Shaw and William R. Polk.</t>
  </si>
  <si>
    <t>Gibb, H. A. R. (Hamilton Alexander Rosskeen), 1895-1971.</t>
  </si>
  <si>
    <t>Princeton, N.J. : Princeton University Press, 1982, c1962.</t>
  </si>
  <si>
    <t>2003-03-05</t>
  </si>
  <si>
    <t>1990-08-10</t>
  </si>
  <si>
    <t>352680212:eng</t>
  </si>
  <si>
    <t>9092012</t>
  </si>
  <si>
    <t>991005400399702656</t>
  </si>
  <si>
    <t>2256164510002656</t>
  </si>
  <si>
    <t>9780691007861</t>
  </si>
  <si>
    <t>32285000271428</t>
  </si>
  <si>
    <t>893707857</t>
  </si>
  <si>
    <t>D199.3 .G58 1999</t>
  </si>
  <si>
    <t>0                      D  0199300G  58          1999</t>
  </si>
  <si>
    <t>A Mediterranean society : an abridgment in one volume / S.D. Goitein ; revised and edited by Jacob Lassner.</t>
  </si>
  <si>
    <t>Goitein, Shelomo Dov, 1900-1985.</t>
  </si>
  <si>
    <t>Berkeley : University of California Press, c1999.</t>
  </si>
  <si>
    <t>2001-03-21</t>
  </si>
  <si>
    <t>3901259771:eng</t>
  </si>
  <si>
    <t>40444152</t>
  </si>
  <si>
    <t>991003349559702656</t>
  </si>
  <si>
    <t>2272722570002656</t>
  </si>
  <si>
    <t>9780520217348</t>
  </si>
  <si>
    <t>32285004306550</t>
  </si>
  <si>
    <t>893705146</t>
  </si>
  <si>
    <t>D199.3 .I789</t>
  </si>
  <si>
    <t>0                      D  0199300I  789</t>
  </si>
  <si>
    <t>The Islamic city: a colloquium [held at All Souls College, June 28-July 2, 1965] published under the auspices of the Near Eastern History Group, Oxford, and the Near East Centre, University of Pennsylvania; edited by A. H. Hourani and S. M. Stern.</t>
  </si>
  <si>
    <t>Oxford, Cassirer; [Philadelphia] University of Pennsylvania Press, 1970.</t>
  </si>
  <si>
    <t>Papers on Islamic history ; no. 1</t>
  </si>
  <si>
    <t>8907094019:eng</t>
  </si>
  <si>
    <t>126412</t>
  </si>
  <si>
    <t>991000719679702656</t>
  </si>
  <si>
    <t>2258405040002656</t>
  </si>
  <si>
    <t>9780571090853</t>
  </si>
  <si>
    <t>32285002299468</t>
  </si>
  <si>
    <t>893425974</t>
  </si>
  <si>
    <t>D199.3 .I8 no.10</t>
  </si>
  <si>
    <t>0                      D  0199300I  8                                                       no.10</t>
  </si>
  <si>
    <t>A history of Islamic Sicily / Aziz Ahmad.</t>
  </si>
  <si>
    <t>no.10*</t>
  </si>
  <si>
    <t>Aḥmad, ʻAzīz.</t>
  </si>
  <si>
    <t>Edinburgh : Edinburgh University Press, c1975.</t>
  </si>
  <si>
    <t>Islamic surveys ; 10</t>
  </si>
  <si>
    <t>2003-10-30</t>
  </si>
  <si>
    <t>1992-06-18</t>
  </si>
  <si>
    <t>118012304:eng</t>
  </si>
  <si>
    <t>1863717</t>
  </si>
  <si>
    <t>991003918409702656</t>
  </si>
  <si>
    <t>2263218520002656</t>
  </si>
  <si>
    <t>9780852242742</t>
  </si>
  <si>
    <t>32285001132462</t>
  </si>
  <si>
    <t>893693317</t>
  </si>
  <si>
    <t>D199.3 .I8 no.11</t>
  </si>
  <si>
    <t>0                      D  0199300I  8                                                       no.11</t>
  </si>
  <si>
    <t>Islamic medicine / Manfred Ullmann ; [translated by Jean Watt].</t>
  </si>
  <si>
    <t>no.11*</t>
  </si>
  <si>
    <t>Ullmann, Manfred.</t>
  </si>
  <si>
    <t>Edinburgh : Edinburgh University Press, c1978.</t>
  </si>
  <si>
    <t>Islamic surveys ; 11</t>
  </si>
  <si>
    <t>2005-09-19</t>
  </si>
  <si>
    <t>1994-06-22</t>
  </si>
  <si>
    <t>584279:eng</t>
  </si>
  <si>
    <t>3832174</t>
  </si>
  <si>
    <t>991005371569702656</t>
  </si>
  <si>
    <t>2272780690002656</t>
  </si>
  <si>
    <t>9780852243251</t>
  </si>
  <si>
    <t>32285001929743</t>
  </si>
  <si>
    <t>893338987</t>
  </si>
  <si>
    <t>D199.3 .I8 no.6</t>
  </si>
  <si>
    <t>0                      D  0199300I  8                                                       no.6</t>
  </si>
  <si>
    <t>Islamic political thought : the basic concepts / [by] W. Montgomery Watt.</t>
  </si>
  <si>
    <t>no.6*</t>
  </si>
  <si>
    <t>Watt, W. Montgomery (William Montgomery)</t>
  </si>
  <si>
    <t>Edinburgh : Edinburgh U.P., 1968.</t>
  </si>
  <si>
    <t>Islamic surveys ; 6</t>
  </si>
  <si>
    <t>2001-11-01</t>
  </si>
  <si>
    <t>19625996:eng</t>
  </si>
  <si>
    <t>360865</t>
  </si>
  <si>
    <t>991002485719702656</t>
  </si>
  <si>
    <t>2263777870002656</t>
  </si>
  <si>
    <t>9780852240328</t>
  </si>
  <si>
    <t>32285001929602</t>
  </si>
  <si>
    <t>893523668</t>
  </si>
  <si>
    <t>D199.3 .S42</t>
  </si>
  <si>
    <t>0                      D  0199300S  42</t>
  </si>
  <si>
    <t>Muhammad's people; a tale by anthology. The religion and politics, poetry and violence, science, ribaldry, and finance of the Muslims, from the age of ignorance before Islam and the mission of God's prophet to sophistication in the eleventh century; a mosaic translation.</t>
  </si>
  <si>
    <t>Schroeder, Eric, 1904-</t>
  </si>
  <si>
    <t>Portland, Me., Bond Wheelwright Co., 1955.</t>
  </si>
  <si>
    <t>meu</t>
  </si>
  <si>
    <t>2000-09-26</t>
  </si>
  <si>
    <t>226166818:eng</t>
  </si>
  <si>
    <t>1013098</t>
  </si>
  <si>
    <t>991003470719702656</t>
  </si>
  <si>
    <t>2255364920002656</t>
  </si>
  <si>
    <t>32285002299500</t>
  </si>
  <si>
    <t>893428824</t>
  </si>
  <si>
    <t>D199.3 .V62 1961</t>
  </si>
  <si>
    <t>0                      D  0199300V  62          1961</t>
  </si>
  <si>
    <t>Islam : essays in the nature and growth of a cultural tradition.</t>
  </si>
  <si>
    <t>Grunebaum, Gustave E. von (Gustave Edmund), 1909-1972.</t>
  </si>
  <si>
    <t>London : Routledge &amp; Paul, [1961]</t>
  </si>
  <si>
    <t>1961</t>
  </si>
  <si>
    <t>[2d ed.]</t>
  </si>
  <si>
    <t>1990-08-07</t>
  </si>
  <si>
    <t>4071239962:eng</t>
  </si>
  <si>
    <t>4286080</t>
  </si>
  <si>
    <t>991005353839702656</t>
  </si>
  <si>
    <t>2261401360002656</t>
  </si>
  <si>
    <t>32285000253970</t>
  </si>
  <si>
    <t>893783438</t>
  </si>
  <si>
    <t>D20 .H519513 1993b</t>
  </si>
  <si>
    <t>0                      D  0020000H  519513      1993b</t>
  </si>
  <si>
    <t>Illustrated history of Europe : a unique guide to Europe's common heritage / general editor: Frederic Delouche ; translated from the French by Richard Mayne.</t>
  </si>
  <si>
    <t>Histoire de l'Europe. English.</t>
  </si>
  <si>
    <t>London : Weidenfeld and Nicolson, 1993.</t>
  </si>
  <si>
    <t>1994-11-14</t>
  </si>
  <si>
    <t>10033129340:eng</t>
  </si>
  <si>
    <t>29287055</t>
  </si>
  <si>
    <t>991002259349702656</t>
  </si>
  <si>
    <t>2256508310002656</t>
  </si>
  <si>
    <t>9780297832195</t>
  </si>
  <si>
    <t>32285001957694</t>
  </si>
  <si>
    <t>893879674</t>
  </si>
  <si>
    <t>D20 .H543 2000</t>
  </si>
  <si>
    <t>0                      D  0020000H  543         2000</t>
  </si>
  <si>
    <t>History in dispute.</t>
  </si>
  <si>
    <t>Detroit : St. James Press, c2000-</t>
  </si>
  <si>
    <t>2000-08-23</t>
  </si>
  <si>
    <t>2000-08-14</t>
  </si>
  <si>
    <t>2864345281:eng</t>
  </si>
  <si>
    <t>42806251</t>
  </si>
  <si>
    <t>991003265129702656</t>
  </si>
  <si>
    <t>2258064010002656</t>
  </si>
  <si>
    <t>9781558623958</t>
  </si>
  <si>
    <t>32285003757274</t>
  </si>
  <si>
    <t>893258235</t>
  </si>
  <si>
    <t>D20 .H69 1960</t>
  </si>
  <si>
    <t>0                      D  0020000H  69          1960</t>
  </si>
  <si>
    <t>A History of the world / Chester G. Starr [and others]</t>
  </si>
  <si>
    <t>Chicago : Rand McNally, c1960.</t>
  </si>
  <si>
    <t>Rand McNally history series</t>
  </si>
  <si>
    <t>1994-03-17</t>
  </si>
  <si>
    <t>5218670037:eng</t>
  </si>
  <si>
    <t>530135</t>
  </si>
  <si>
    <t>991002928809702656</t>
  </si>
  <si>
    <t>2266923810002656</t>
  </si>
  <si>
    <t>32285001168979</t>
  </si>
  <si>
    <t>893622915</t>
  </si>
  <si>
    <t>32285001168961</t>
  </si>
  <si>
    <t>893591962</t>
  </si>
  <si>
    <t>D20 .R657 1995</t>
  </si>
  <si>
    <t>0                      D  0020000R  657         1995</t>
  </si>
  <si>
    <t>A concise history of the world / J.M. Roberts.</t>
  </si>
  <si>
    <t>Roberts, J. M. (John Morris), 1928-2003.</t>
  </si>
  <si>
    <t>1995-12-18</t>
  </si>
  <si>
    <t>1995-09-06</t>
  </si>
  <si>
    <t>3372668298:eng</t>
  </si>
  <si>
    <t>31605369</t>
  </si>
  <si>
    <t>991002423209702656</t>
  </si>
  <si>
    <t>2265650110002656</t>
  </si>
  <si>
    <t>9780195211511</t>
  </si>
  <si>
    <t>32285002091998</t>
  </si>
  <si>
    <t>893622261</t>
  </si>
  <si>
    <t>D200 .M86 1973b</t>
  </si>
  <si>
    <t>0                      D  0200000M  86          1973b</t>
  </si>
  <si>
    <t>Europe in the high Middle Ages, 1150-1309 / [by] John H. Mundy.</t>
  </si>
  <si>
    <t>Mundy, John Hine, 1917-2004.</t>
  </si>
  <si>
    <t>New York : Basic Books, [1973]</t>
  </si>
  <si>
    <t>2004-11-02</t>
  </si>
  <si>
    <t>1994-12-20</t>
  </si>
  <si>
    <t>138886629:eng</t>
  </si>
  <si>
    <t>700388</t>
  </si>
  <si>
    <t>991003161179702656</t>
  </si>
  <si>
    <t>2256724780002656</t>
  </si>
  <si>
    <t>9780465021031</t>
  </si>
  <si>
    <t>32285001985000</t>
  </si>
  <si>
    <t>893416102</t>
  </si>
  <si>
    <t>D2009 .A14 2004</t>
  </si>
  <si>
    <t>0                      D  2009000A  14          2004</t>
  </si>
  <si>
    <t>21 debated : issues in world politics / editors: Gregory M. Scott, Randall J. Jones, Jr., Louis S. Furmanski.</t>
  </si>
  <si>
    <t>Upper Saddle River, N.J. : Pearson/Prentice Hall, c2004.</t>
  </si>
  <si>
    <t>2nd ed.</t>
  </si>
  <si>
    <t>2003-10-16</t>
  </si>
  <si>
    <t>2003-10-02</t>
  </si>
  <si>
    <t>28093862:eng</t>
  </si>
  <si>
    <t>52595173</t>
  </si>
  <si>
    <t>991004149569702656</t>
  </si>
  <si>
    <t>2267552020002656</t>
  </si>
  <si>
    <t>9780130458292</t>
  </si>
  <si>
    <t>32285004789094</t>
  </si>
  <si>
    <t>893775693</t>
  </si>
  <si>
    <t>D2009 .B47 1995</t>
  </si>
  <si>
    <t>0                      D  2009000B  47          1995</t>
  </si>
  <si>
    <t>Europe in the balance : securing the peace won in the Cold War / Christoph Bertram.</t>
  </si>
  <si>
    <t>Bertram, Christoph, 1937-</t>
  </si>
  <si>
    <t>Washington, D.C. : Carnegie Endowment for International Peace : Distributed by the Brookings Institution, c1995.</t>
  </si>
  <si>
    <t>1996-06-17</t>
  </si>
  <si>
    <t>38228495:eng</t>
  </si>
  <si>
    <t>32893338</t>
  </si>
  <si>
    <t>991002531179702656</t>
  </si>
  <si>
    <t>2257666970002656</t>
  </si>
  <si>
    <t>9780870030680</t>
  </si>
  <si>
    <t>32285002193810</t>
  </si>
  <si>
    <t>893616234</t>
  </si>
  <si>
    <t>D2009 .B83 1993</t>
  </si>
  <si>
    <t>0                      D  2009000B  83          1993</t>
  </si>
  <si>
    <t>Europe : the strange superpower / David Buchan.</t>
  </si>
  <si>
    <t>Buchan, David, 1947-</t>
  </si>
  <si>
    <t>Aldershot, Hants, England ; Brookfield, Vt., : Dartmouth, c1993.</t>
  </si>
  <si>
    <t>1998-10-31</t>
  </si>
  <si>
    <t>320757708:eng</t>
  </si>
  <si>
    <t>28180959</t>
  </si>
  <si>
    <t>991002189379702656</t>
  </si>
  <si>
    <t>2271464980002656</t>
  </si>
  <si>
    <t>9781855214392</t>
  </si>
  <si>
    <t>32285001898641</t>
  </si>
  <si>
    <t>893250919</t>
  </si>
  <si>
    <t>D2009 .C67 2000</t>
  </si>
  <si>
    <t>0                      D  2009000C  67          2000</t>
  </si>
  <si>
    <t>Contemporary Europe / [edited by] Richard Sakwa and Anne Stevens.</t>
  </si>
  <si>
    <t>New York, N.Y. : St. Martins' Press, 2000.</t>
  </si>
  <si>
    <t>Foundations</t>
  </si>
  <si>
    <t>2001-10-18</t>
  </si>
  <si>
    <t>367409310:eng</t>
  </si>
  <si>
    <t>43930107</t>
  </si>
  <si>
    <t>991003633299702656</t>
  </si>
  <si>
    <t>2255028550002656</t>
  </si>
  <si>
    <t>9780312236151</t>
  </si>
  <si>
    <t>32285004398185</t>
  </si>
  <si>
    <t>893806011</t>
  </si>
  <si>
    <t>D2009 .E8785 1994</t>
  </si>
  <si>
    <t>0                      D  2009000E  8785        1994</t>
  </si>
  <si>
    <t>European foreign policy : the EC and changing perspectives in Europe / edited by Walter Carlsnaes and Steve Smith.</t>
  </si>
  <si>
    <t>London ; Thousand Oaks : SAGE, 1994.</t>
  </si>
  <si>
    <t>Sage modern politics series ; v. 34</t>
  </si>
  <si>
    <t>1996-01-18</t>
  </si>
  <si>
    <t>806987850:eng</t>
  </si>
  <si>
    <t>30401194</t>
  </si>
  <si>
    <t>991002336729702656</t>
  </si>
  <si>
    <t>2262534630002656</t>
  </si>
  <si>
    <t>9780803988163</t>
  </si>
  <si>
    <t>32285002119476</t>
  </si>
  <si>
    <t>893786017</t>
  </si>
  <si>
    <t>D2009 .E984 1996</t>
  </si>
  <si>
    <t>0                      D  2009000E  984         1996</t>
  </si>
  <si>
    <t>Europe's new nationalism : states and minorities in conflict / edited by Richard Caplan and John Feffer.</t>
  </si>
  <si>
    <t>New York : Oxford University Press, 1996.</t>
  </si>
  <si>
    <t>2000-04-18</t>
  </si>
  <si>
    <t>1996-11-01</t>
  </si>
  <si>
    <t>806876919:eng</t>
  </si>
  <si>
    <t>33276764</t>
  </si>
  <si>
    <t>991002559979702656</t>
  </si>
  <si>
    <t>2257791660002656</t>
  </si>
  <si>
    <t>9780195091489</t>
  </si>
  <si>
    <t>32285002370582</t>
  </si>
  <si>
    <t>893409235</t>
  </si>
  <si>
    <t>D2009 .F75 1993</t>
  </si>
  <si>
    <t>0                      D  2009000F  75          1993</t>
  </si>
  <si>
    <t>From euphoria to hysteria : Western European security after the Cold War / edited by David G. Haglund ; with a foreword by Helga Haftendorn.</t>
  </si>
  <si>
    <t>2005-11-11</t>
  </si>
  <si>
    <t>1993-12-10</t>
  </si>
  <si>
    <t>890022720:eng</t>
  </si>
  <si>
    <t>28113804</t>
  </si>
  <si>
    <t>991002183659702656</t>
  </si>
  <si>
    <t>2256261630002656</t>
  </si>
  <si>
    <t>9780813387437</t>
  </si>
  <si>
    <t>32285001815306</t>
  </si>
  <si>
    <t>893414919</t>
  </si>
  <si>
    <t>D2009 .F76 1992</t>
  </si>
  <si>
    <t>0                      D  2009000F  76          1992</t>
  </si>
  <si>
    <t>From the Atlantic to the Urals : national perspectives on the new Europe / edited by David P. Calleo and Philip H. Gordon.</t>
  </si>
  <si>
    <t>Arlington, Va. : Seven Locks Press, c1992.</t>
  </si>
  <si>
    <t>vau</t>
  </si>
  <si>
    <t>1994-11-20</t>
  </si>
  <si>
    <t>1993-12-28</t>
  </si>
  <si>
    <t>354482597:eng</t>
  </si>
  <si>
    <t>25915735</t>
  </si>
  <si>
    <t>991002035089702656</t>
  </si>
  <si>
    <t>2269950450002656</t>
  </si>
  <si>
    <t>9780929765112</t>
  </si>
  <si>
    <t>32285001817922</t>
  </si>
  <si>
    <t>893328608</t>
  </si>
  <si>
    <t>D2009 .G46 1997</t>
  </si>
  <si>
    <t>0                      D  2009000G  46          1997</t>
  </si>
  <si>
    <t>Geopolitics in post-wall Europe : security, territory and identity / edited by Ola Tunander, Pavel Baev, Victoria Ingrid Einagel.</t>
  </si>
  <si>
    <t>Oslo : PRIO ; London : Sage, 1997.</t>
  </si>
  <si>
    <t xml:space="preserve">no </t>
  </si>
  <si>
    <t>2001-10-31</t>
  </si>
  <si>
    <t>2001-10-30</t>
  </si>
  <si>
    <t>837014591:eng</t>
  </si>
  <si>
    <t>37828064</t>
  </si>
  <si>
    <t>991003621519702656</t>
  </si>
  <si>
    <t>2257827650002656</t>
  </si>
  <si>
    <t>9780761955498</t>
  </si>
  <si>
    <t>32285004416623</t>
  </si>
  <si>
    <t>893441496</t>
  </si>
  <si>
    <t>D2009 .G68 1993</t>
  </si>
  <si>
    <t>0                      D  2009000G  68          1993</t>
  </si>
  <si>
    <t>Nation against state : a new approach to ethnic conflicts and the decline of sovereignty / Gidon Gottlieb.</t>
  </si>
  <si>
    <t>Gottlieb, Gidon.</t>
  </si>
  <si>
    <t>New York : Council on Foreign Relations Press, c1993.</t>
  </si>
  <si>
    <t>1996-01-24</t>
  </si>
  <si>
    <t>1994-08-15</t>
  </si>
  <si>
    <t>31184153:eng</t>
  </si>
  <si>
    <t>28723046</t>
  </si>
  <si>
    <t>991002231139702656</t>
  </si>
  <si>
    <t>2262622590002656</t>
  </si>
  <si>
    <t>9780876091562</t>
  </si>
  <si>
    <t>32285001942985</t>
  </si>
  <si>
    <t>893898516</t>
  </si>
  <si>
    <t>D2009 .G83 1991</t>
  </si>
  <si>
    <t>0                      D  2009000G  83          1991</t>
  </si>
  <si>
    <t>Time and tide wait for no man : the changing European geopolitical landscape / Karel de Gucht and Stephan Keukeleire ; foreword by Valéry Giscard d'Estaing.</t>
  </si>
  <si>
    <t>Gucht, Karel de, 1954-</t>
  </si>
  <si>
    <t>New York : Praeger, 1991.</t>
  </si>
  <si>
    <t>2570262:eng</t>
  </si>
  <si>
    <t>23355432</t>
  </si>
  <si>
    <t>991001858039702656</t>
  </si>
  <si>
    <t>2271049910002656</t>
  </si>
  <si>
    <t>9780275940621</t>
  </si>
  <si>
    <t>32285001156594</t>
  </si>
  <si>
    <t>893609197</t>
  </si>
  <si>
    <t>D2009 .K537 2002</t>
  </si>
  <si>
    <t>0                      D  2009000K  537         2002</t>
  </si>
  <si>
    <t>Fences and windows : dispatches from the front lines of the globalization debate / Naomi Klein ; editor, Debra Ann Levy.</t>
  </si>
  <si>
    <t>Klein, Naomi, 1970-</t>
  </si>
  <si>
    <t>New York : Picador, 2002.</t>
  </si>
  <si>
    <t>1st Picador USA ed.</t>
  </si>
  <si>
    <t>2005-04-25</t>
  </si>
  <si>
    <t>2003-02-19</t>
  </si>
  <si>
    <t>4923847843:eng</t>
  </si>
  <si>
    <t>50681860</t>
  </si>
  <si>
    <t>991003967799702656</t>
  </si>
  <si>
    <t>2255982940002656</t>
  </si>
  <si>
    <t>9780312307998</t>
  </si>
  <si>
    <t>32285004699483</t>
  </si>
  <si>
    <t>893800421</t>
  </si>
  <si>
    <t>D2009 .M53 1994</t>
  </si>
  <si>
    <t>0                      D  2009000M  53          1994</t>
  </si>
  <si>
    <t>Shaping a new European order / Hugh Miall.</t>
  </si>
  <si>
    <t>Miall, Hugh.</t>
  </si>
  <si>
    <t>New York, NY : Published in North America by the Council on Foreign Relations for the Royal Institute of International Affairs, 1994.</t>
  </si>
  <si>
    <t>1994-05-26</t>
  </si>
  <si>
    <t>31466953:eng</t>
  </si>
  <si>
    <t>29522474</t>
  </si>
  <si>
    <t>991002275719702656</t>
  </si>
  <si>
    <t>2268806780002656</t>
  </si>
  <si>
    <t>9780876091579</t>
  </si>
  <si>
    <t>32285001915114</t>
  </si>
  <si>
    <t>893427425</t>
  </si>
  <si>
    <t>D2009 .N36 1995</t>
  </si>
  <si>
    <t>0                      D  2009000N  36          1995</t>
  </si>
  <si>
    <t>Nationalism and nationalities in the New Europe / edited by Charles A. Kupchan.</t>
  </si>
  <si>
    <t>Ithaca : Cornell University Press, 1995.</t>
  </si>
  <si>
    <t>2003-12-16</t>
  </si>
  <si>
    <t>368415866:eng</t>
  </si>
  <si>
    <t>32312676</t>
  </si>
  <si>
    <t>991002482739702656</t>
  </si>
  <si>
    <t>2268592060002656</t>
  </si>
  <si>
    <t>9780801431623</t>
  </si>
  <si>
    <t>32285002499423</t>
  </si>
  <si>
    <t>893627142</t>
  </si>
  <si>
    <t>D2009 .N5 1997</t>
  </si>
  <si>
    <t>0                      D  2009000N  5           1997</t>
  </si>
  <si>
    <t>Europe adrift / John Newhouse.</t>
  </si>
  <si>
    <t>Newhouse, John, 1929-2016.</t>
  </si>
  <si>
    <t>New York : Pantheon Books, c1997.</t>
  </si>
  <si>
    <t>2004-03-05</t>
  </si>
  <si>
    <t>1997-11-18</t>
  </si>
  <si>
    <t>570051:eng</t>
  </si>
  <si>
    <t>36423394</t>
  </si>
  <si>
    <t>991002773659702656</t>
  </si>
  <si>
    <t>2272436460002656</t>
  </si>
  <si>
    <t>9780679433705</t>
  </si>
  <si>
    <t>32285003271201</t>
  </si>
  <si>
    <t>893721632</t>
  </si>
  <si>
    <t>D201 .B7</t>
  </si>
  <si>
    <t>0                      D  0201000B  7</t>
  </si>
  <si>
    <t>Europe in the central Middle Ages, 962-1154, [by] Christopher Brooke.</t>
  </si>
  <si>
    <t>Brooke, Christopher, 1927-2015.</t>
  </si>
  <si>
    <t>New York, Holt, Rinehart and Winston [1964?]</t>
  </si>
  <si>
    <t>A General history of Europe</t>
  </si>
  <si>
    <t>1528545:eng</t>
  </si>
  <si>
    <t>392093</t>
  </si>
  <si>
    <t>991002663029702656</t>
  </si>
  <si>
    <t>2263536500002656</t>
  </si>
  <si>
    <t>32285002299534</t>
  </si>
  <si>
    <t>893323204</t>
  </si>
  <si>
    <t>D201.3 .M6</t>
  </si>
  <si>
    <t>0                      D  0201300M  6</t>
  </si>
  <si>
    <t>Imperial lives and letters of the eleventh century. Translated by Theodor E. Mommsen and Karl F. Morrison. With an historical introduction by Karl F. Morrison. Edited by Robert L. Benson.</t>
  </si>
  <si>
    <t>Mommsen, Theodor Ernst, 1905-1958 translator.</t>
  </si>
  <si>
    <t>New York, Columbia University Press, 1962.</t>
  </si>
  <si>
    <t>The Records of civilization, sources and studies, no. 67</t>
  </si>
  <si>
    <t>909791920:eng</t>
  </si>
  <si>
    <t>2034023</t>
  </si>
  <si>
    <t>991003986779702656</t>
  </si>
  <si>
    <t>2270035990002656</t>
  </si>
  <si>
    <t>32285002299559</t>
  </si>
  <si>
    <t>893806510</t>
  </si>
  <si>
    <t>D201.4 .R47 1998</t>
  </si>
  <si>
    <t>0                      D  0201400R  47          1998</t>
  </si>
  <si>
    <t>The last apocalypse : Europe at the year 1000 A.D. / James Reston, Jr.</t>
  </si>
  <si>
    <t>Reston, James, Jr., 1941-</t>
  </si>
  <si>
    <t>New York : Doubleday, 1998.</t>
  </si>
  <si>
    <t>1998-03-20</t>
  </si>
  <si>
    <t>796539483:eng</t>
  </si>
  <si>
    <t>36817248</t>
  </si>
  <si>
    <t>991002802889702656</t>
  </si>
  <si>
    <t>2261850990002656</t>
  </si>
  <si>
    <t>9780385483261</t>
  </si>
  <si>
    <t>32285003359451</t>
  </si>
  <si>
    <t>893511216</t>
  </si>
  <si>
    <t>D202.8 .H3</t>
  </si>
  <si>
    <t>0                      D  0202800H  3</t>
  </si>
  <si>
    <t>Europe in the fourteenth and fifteenth centuries.</t>
  </si>
  <si>
    <t>Hay, Denys.</t>
  </si>
  <si>
    <t>New York, Holt, Rinehart and Winston [c1966]</t>
  </si>
  <si>
    <t>1528535:eng</t>
  </si>
  <si>
    <t>392090</t>
  </si>
  <si>
    <t>991002662999702656</t>
  </si>
  <si>
    <t>2263535590002656</t>
  </si>
  <si>
    <t>32285002299591</t>
  </si>
  <si>
    <t>893899044</t>
  </si>
  <si>
    <t>D202.8 .H6 1976</t>
  </si>
  <si>
    <t>0                      D  0202800H  6           1976</t>
  </si>
  <si>
    <t>Europe, hierarchy and revolt, 1320-1450 / George Holmes.</t>
  </si>
  <si>
    <t>Holmes, George, 1927-2009.</t>
  </si>
  <si>
    <t>New York : Harper &amp; Row, 1976, c1975.</t>
  </si>
  <si>
    <t>Harper torchbooks ; TB1908</t>
  </si>
  <si>
    <t>1997-09-10</t>
  </si>
  <si>
    <t>3945201:eng</t>
  </si>
  <si>
    <t>2499571</t>
  </si>
  <si>
    <t>991004141589702656</t>
  </si>
  <si>
    <t>2260693110002656</t>
  </si>
  <si>
    <t>9780061319082</t>
  </si>
  <si>
    <t>32285002299609</t>
  </si>
  <si>
    <t>893263115</t>
  </si>
  <si>
    <t>D203 .A8 1968b</t>
  </si>
  <si>
    <t>0                      D  0203000A  8           1968b</t>
  </si>
  <si>
    <t>The fifteenth century; the prospect of Europe.</t>
  </si>
  <si>
    <t>Aston, Margaret.</t>
  </si>
  <si>
    <t>New York] Harcourt, Brace &amp; World [1968]</t>
  </si>
  <si>
    <t>[1st American ed.</t>
  </si>
  <si>
    <t>History of European civilization library</t>
  </si>
  <si>
    <t>2001-03-14</t>
  </si>
  <si>
    <t>181177806:eng</t>
  </si>
  <si>
    <t>167592</t>
  </si>
  <si>
    <t>991000949149702656</t>
  </si>
  <si>
    <t>2272723830002656</t>
  </si>
  <si>
    <t>32285002299625</t>
  </si>
  <si>
    <t>893346126</t>
  </si>
  <si>
    <t>D203 .C37 1989</t>
  </si>
  <si>
    <t>0                      D  0203000C  37          1989</t>
  </si>
  <si>
    <t>Europe 1492 : portrait of a continent five hundred years ago / Franco Cardini ; [translation, Jay Hyams].</t>
  </si>
  <si>
    <t>Cardini, Franco.</t>
  </si>
  <si>
    <t>New York : Facts on File, c1989.</t>
  </si>
  <si>
    <t>1997-04-01</t>
  </si>
  <si>
    <t>1990-03-01</t>
  </si>
  <si>
    <t>1153789635:eng</t>
  </si>
  <si>
    <t>19352920</t>
  </si>
  <si>
    <t>991001453889702656</t>
  </si>
  <si>
    <t>2270703930002656</t>
  </si>
  <si>
    <t>9780816021888</t>
  </si>
  <si>
    <t>32285000041235</t>
  </si>
  <si>
    <t>893528946</t>
  </si>
  <si>
    <t>D203 .L58 1991</t>
  </si>
  <si>
    <t>0                      D  0203000L  58          1991</t>
  </si>
  <si>
    <t>Fourteen ninety two : the decline of medievalism and the rise of the modern age / Barnet Litvinoff.</t>
  </si>
  <si>
    <t>Litvinoff, Barnet.</t>
  </si>
  <si>
    <t>New York : C. Scribner's ; New York : Macmillan International, c1991.</t>
  </si>
  <si>
    <t>196543065:eng</t>
  </si>
  <si>
    <t>23356238</t>
  </si>
  <si>
    <t>991001858879702656</t>
  </si>
  <si>
    <t>2256764370002656</t>
  </si>
  <si>
    <t>9780684192109</t>
  </si>
  <si>
    <t>32285000861095</t>
  </si>
  <si>
    <t>893316120</t>
  </si>
  <si>
    <t>D208 .G3</t>
  </si>
  <si>
    <t>0                      D  0208000G  3</t>
  </si>
  <si>
    <t>European history, 1500-1815, by Mitchell B. Garrett ...</t>
  </si>
  <si>
    <t>Garrett, Mitchell B. (Mitchell Bennett), 1881-1959.</t>
  </si>
  <si>
    <t>New York, Cincinnati [etc.] American Book Company [c1940]</t>
  </si>
  <si>
    <t>1940</t>
  </si>
  <si>
    <t>2003-09-15</t>
  </si>
  <si>
    <t>2216405:eng</t>
  </si>
  <si>
    <t>1283819</t>
  </si>
  <si>
    <t>991003668369702656</t>
  </si>
  <si>
    <t>2266280460002656</t>
  </si>
  <si>
    <t>32285002299666</t>
  </si>
  <si>
    <t>893711640</t>
  </si>
  <si>
    <t>D208 .M33</t>
  </si>
  <si>
    <t>0                      D  0208000M  33</t>
  </si>
  <si>
    <t>The Making of the modern world; general editor Douglas Johnson.</t>
  </si>
  <si>
    <t>London, Benn; New York, Barnes &amp; Noble, 1971-</t>
  </si>
  <si>
    <t>2001-11-28</t>
  </si>
  <si>
    <t>4160701553:eng</t>
  </si>
  <si>
    <t>149339</t>
  </si>
  <si>
    <t>991000855479702656</t>
  </si>
  <si>
    <t>2260483260002656</t>
  </si>
  <si>
    <t>9780389041283</t>
  </si>
  <si>
    <t>32285002299674</t>
  </si>
  <si>
    <t>893803123</t>
  </si>
  <si>
    <t>D208 .W64 1982</t>
  </si>
  <si>
    <t>0                      D  0208000W  64          1982</t>
  </si>
  <si>
    <t>Europe and the people without history / Eric R. Wolf ; cartographic illustrations by Noël L. Diaz.</t>
  </si>
  <si>
    <t>Wolf, Eric R., 1923-1999.</t>
  </si>
  <si>
    <t>Berkeley : University of California Press, c1982.</t>
  </si>
  <si>
    <t>2003-12-03</t>
  </si>
  <si>
    <t>1992-05-07</t>
  </si>
  <si>
    <t>480487920:eng</t>
  </si>
  <si>
    <t>8115264</t>
  </si>
  <si>
    <t>991005206469702656</t>
  </si>
  <si>
    <t>2258031530002656</t>
  </si>
  <si>
    <t>9780520044593</t>
  </si>
  <si>
    <t>32285001106151</t>
  </si>
  <si>
    <t>893688774</t>
  </si>
  <si>
    <t>D209 .A85</t>
  </si>
  <si>
    <t>0                      D  0209000A  85</t>
  </si>
  <si>
    <t>Europe in modern times / Warren O. Ault.</t>
  </si>
  <si>
    <t>Ault, Warren Ortman, 1887-1989.</t>
  </si>
  <si>
    <t>Boston : D.C. Heath, c1946.</t>
  </si>
  <si>
    <t>1946</t>
  </si>
  <si>
    <t>2004-11-01</t>
  </si>
  <si>
    <t>2327770:eng</t>
  </si>
  <si>
    <t>1435324</t>
  </si>
  <si>
    <t>991003755299702656</t>
  </si>
  <si>
    <t>2267028710002656</t>
  </si>
  <si>
    <t>32285002299716</t>
  </si>
  <si>
    <t>893718031</t>
  </si>
  <si>
    <t>D209 .H28</t>
  </si>
  <si>
    <t>0                      D  0209000H  28</t>
  </si>
  <si>
    <t>Modern history, by Carlton J. H. Hayes ... and Parker Thomas Moon.</t>
  </si>
  <si>
    <t>Hayes, Carlton J. H. (Carlton Joseph Huntley), 1882-1964.</t>
  </si>
  <si>
    <t>New York, The Macmillan company, c1923.</t>
  </si>
  <si>
    <t>1923</t>
  </si>
  <si>
    <t>1999-01-21</t>
  </si>
  <si>
    <t>3779216607:eng</t>
  </si>
  <si>
    <t>3076119</t>
  </si>
  <si>
    <t>991004336959702656</t>
  </si>
  <si>
    <t>2266130310002656</t>
  </si>
  <si>
    <t>32285002299724</t>
  </si>
  <si>
    <t>893506725</t>
  </si>
  <si>
    <t>D209 .H3 1924</t>
  </si>
  <si>
    <t>0                      D  0209000H  3           1924</t>
  </si>
  <si>
    <t>A political and social history of modern Europe, by Carlton J. H. Hayes.</t>
  </si>
  <si>
    <t>New York, The Macmillan company, 1924.</t>
  </si>
  <si>
    <t>1999-04-22</t>
  </si>
  <si>
    <t>3373502967:eng</t>
  </si>
  <si>
    <t>2828049</t>
  </si>
  <si>
    <t>991004256749702656</t>
  </si>
  <si>
    <t>2257499710002656</t>
  </si>
  <si>
    <t>32285002299740</t>
  </si>
  <si>
    <t>893775817</t>
  </si>
  <si>
    <t>D209 .P26</t>
  </si>
  <si>
    <t>0                      D  0209000P  26</t>
  </si>
  <si>
    <t>A history of the modern world, by R. R. Palmer and Joel Colton.</t>
  </si>
  <si>
    <t>Palmer, R. R. (Robert Roswell), 1909-2002.</t>
  </si>
  <si>
    <t>New York, Knopf, 1965.</t>
  </si>
  <si>
    <t>3d ed.</t>
  </si>
  <si>
    <t>2004-05-01</t>
  </si>
  <si>
    <t>4929325805:eng</t>
  </si>
  <si>
    <t>360886</t>
  </si>
  <si>
    <t>991002485909702656</t>
  </si>
  <si>
    <t>2263761440002656</t>
  </si>
  <si>
    <t>32285002299831</t>
  </si>
  <si>
    <t>893445190</t>
  </si>
  <si>
    <t>D209 .R6</t>
  </si>
  <si>
    <t>0                      D  0209000R  6</t>
  </si>
  <si>
    <t>Central-eastern Europe, crucible of world wars, by Joseph S. Rouček, PH. D., and associates ...</t>
  </si>
  <si>
    <t>Rouček, Joseph S. (Joseph Slabey), 1902-1984, editor.</t>
  </si>
  <si>
    <t>New York, Prentice-Hall, Inc., 1946.</t>
  </si>
  <si>
    <t>110752399:eng</t>
  </si>
  <si>
    <t>392608</t>
  </si>
  <si>
    <t>991002664239702656</t>
  </si>
  <si>
    <t>2263582960002656</t>
  </si>
  <si>
    <t>32285002299849</t>
  </si>
  <si>
    <t>893245464</t>
  </si>
  <si>
    <t>D21 .G28 1972b</t>
  </si>
  <si>
    <t>0                      D  0021000G  28          1972b</t>
  </si>
  <si>
    <t>A history of the world. Editors: John A. Garraty [and] Peter Gay.</t>
  </si>
  <si>
    <t>Garraty, John A. (John Arthur), 1920-2007.</t>
  </si>
  <si>
    <t>New York, Harper &amp; Row [1972]</t>
  </si>
  <si>
    <t>1972</t>
  </si>
  <si>
    <t>1994-05-05</t>
  </si>
  <si>
    <t>1991-12-12</t>
  </si>
  <si>
    <t>3373461352:eng</t>
  </si>
  <si>
    <t>379477</t>
  </si>
  <si>
    <t>991002615969702656</t>
  </si>
  <si>
    <t>2265101360002656</t>
  </si>
  <si>
    <t>9780060422547</t>
  </si>
  <si>
    <t>32285000878552</t>
  </si>
  <si>
    <t>893622450</t>
  </si>
  <si>
    <t>32285001169035</t>
  </si>
  <si>
    <t>893616333</t>
  </si>
  <si>
    <t>32285001169027</t>
  </si>
  <si>
    <t>893622492</t>
  </si>
  <si>
    <t>D21.3 .H36 1986</t>
  </si>
  <si>
    <t>0                      D  0021300H  36          1986</t>
  </si>
  <si>
    <t>Powers and liberties : the causes and consequences of the rise of the West / John A. Hall.</t>
  </si>
  <si>
    <t>Hall, John A., 1949-</t>
  </si>
  <si>
    <t>Berkeley : University of California Press, 1986, c1985.</t>
  </si>
  <si>
    <t>1st California ed.</t>
  </si>
  <si>
    <t>1998-12-03</t>
  </si>
  <si>
    <t>836692350:eng</t>
  </si>
  <si>
    <t>13664501</t>
  </si>
  <si>
    <t>991000856759702656</t>
  </si>
  <si>
    <t>2271583880002656</t>
  </si>
  <si>
    <t>9780520057784</t>
  </si>
  <si>
    <t>32285001169068</t>
  </si>
  <si>
    <t>893261636</t>
  </si>
  <si>
    <t>D21.3 .M285 2003</t>
  </si>
  <si>
    <t>0                      D  0021300M  285         2003</t>
  </si>
  <si>
    <t>Navigating world history : historians create a global past / Patrick Manning.</t>
  </si>
  <si>
    <t>Manning, Patrick, 1941-</t>
  </si>
  <si>
    <t>New York, N.Y. : Palgrave Macmillan, 2003.</t>
  </si>
  <si>
    <t>2005-06-24</t>
  </si>
  <si>
    <t>2005-05-31</t>
  </si>
  <si>
    <t>793983140:eng</t>
  </si>
  <si>
    <t>50270463</t>
  </si>
  <si>
    <t>991004542989702656</t>
  </si>
  <si>
    <t>2260777860002656</t>
  </si>
  <si>
    <t>9781403961174</t>
  </si>
  <si>
    <t>32285005091722</t>
  </si>
  <si>
    <t>893782356</t>
  </si>
  <si>
    <t>D21.3 .Q83 1984</t>
  </si>
  <si>
    <t>0                      D  0021300Q  83          1984</t>
  </si>
  <si>
    <t>Quest for the past.</t>
  </si>
  <si>
    <t>Pleasantville, N.Y. : Reader's Digest Association, c1984.</t>
  </si>
  <si>
    <t>1992-12-06</t>
  </si>
  <si>
    <t>1990-10-01</t>
  </si>
  <si>
    <t>1911615660:eng</t>
  </si>
  <si>
    <t>9557645</t>
  </si>
  <si>
    <t>991000215919702656</t>
  </si>
  <si>
    <t>2266870940002656</t>
  </si>
  <si>
    <t>9780895771704</t>
  </si>
  <si>
    <t>32285000295724</t>
  </si>
  <si>
    <t>893438110</t>
  </si>
  <si>
    <t>D21.3 .W47 1988</t>
  </si>
  <si>
    <t>0                      D  0021300W  47          1988</t>
  </si>
  <si>
    <t>Time in history : the evolution of our general awareness of time and temporal perspective / G.J. Whitrow.</t>
  </si>
  <si>
    <t>Whitrow, G. J.</t>
  </si>
  <si>
    <t>Oxford [Oxfordshire] ; New York : Oxford University Press, c1988, 1989 printing.</t>
  </si>
  <si>
    <t>1996-11-22</t>
  </si>
  <si>
    <t>1989-12-29</t>
  </si>
  <si>
    <t>3943435502:eng</t>
  </si>
  <si>
    <t>18989182</t>
  </si>
  <si>
    <t>991001424749702656</t>
  </si>
  <si>
    <t>2266171830002656</t>
  </si>
  <si>
    <t>9780192153616</t>
  </si>
  <si>
    <t>32285000025097</t>
  </si>
  <si>
    <t>893690624</t>
  </si>
  <si>
    <t>D210 .T77</t>
  </si>
  <si>
    <t>0                      D  0210000T  77</t>
  </si>
  <si>
    <t>The Transfer of ideas; historical essays. Edited by C. D. W. Goodwin and I. B. Holley, Jr.</t>
  </si>
  <si>
    <t>Durham, N.C., South Atlantic quarterly, 1968.</t>
  </si>
  <si>
    <t>1998-05-19</t>
  </si>
  <si>
    <t>1996-09-05</t>
  </si>
  <si>
    <t>815114225:eng</t>
  </si>
  <si>
    <t>342455</t>
  </si>
  <si>
    <t>991002419979702656</t>
  </si>
  <si>
    <t>2266357120002656</t>
  </si>
  <si>
    <t>32285002300019</t>
  </si>
  <si>
    <t>893347477</t>
  </si>
  <si>
    <t>D217 .K6</t>
  </si>
  <si>
    <t>0                      D  0217000K  6</t>
  </si>
  <si>
    <t>World order in historical perspective, by Hans Kohn.</t>
  </si>
  <si>
    <t>Kohn, Hans, 1891-1971.</t>
  </si>
  <si>
    <t>Cambridge, Mass., Harvard university press, 1941.</t>
  </si>
  <si>
    <t>1941</t>
  </si>
  <si>
    <t>2001-02-23</t>
  </si>
  <si>
    <t>1612411:eng</t>
  </si>
  <si>
    <t>4032218</t>
  </si>
  <si>
    <t>991004571399702656</t>
  </si>
  <si>
    <t>2257486850002656</t>
  </si>
  <si>
    <t>32285002300068</t>
  </si>
  <si>
    <t>893593863</t>
  </si>
  <si>
    <t>D217 .L82 1992</t>
  </si>
  <si>
    <t>0                      D  0217000L  82          1992</t>
  </si>
  <si>
    <t>The balance of power : the system of international relations, 1648-1815 / Evan Luard.</t>
  </si>
  <si>
    <t>Luard, Evan, 1926-1991.</t>
  </si>
  <si>
    <t>1992-12-01</t>
  </si>
  <si>
    <t>836731353:eng</t>
  </si>
  <si>
    <t>23355434</t>
  </si>
  <si>
    <t>991001858059702656</t>
  </si>
  <si>
    <t>2271030190002656</t>
  </si>
  <si>
    <t>9780312062088</t>
  </si>
  <si>
    <t>32285001129559</t>
  </si>
  <si>
    <t>893256572</t>
  </si>
  <si>
    <t>D217 .N38 1993</t>
  </si>
  <si>
    <t>0                      D  0217000N  38          1993</t>
  </si>
  <si>
    <t>The National question in Europe in historical context / edited by Mikuláš Teich and Roy Porter.</t>
  </si>
  <si>
    <t>Cambridge [England] ; New York : Cambridge University Press, 1993.</t>
  </si>
  <si>
    <t>1994-03-18</t>
  </si>
  <si>
    <t>917504184:eng</t>
  </si>
  <si>
    <t>25412553</t>
  </si>
  <si>
    <t>991002001479702656</t>
  </si>
  <si>
    <t>2257028340002656</t>
  </si>
  <si>
    <t>9780521364416</t>
  </si>
  <si>
    <t>32285001856623</t>
  </si>
  <si>
    <t>893250703</t>
  </si>
  <si>
    <t>D223 .S55</t>
  </si>
  <si>
    <t>0                      D  0223000S  55</t>
  </si>
  <si>
    <t>The new monarchies and representative assemblies; medieval constitutionalism or modern absolutism? Edited with an introd. by Arthur J. Slavin.</t>
  </si>
  <si>
    <t>Slavin, Arthur Joseph editor.</t>
  </si>
  <si>
    <t>Boston, Heath [1964]</t>
  </si>
  <si>
    <t>Problems in European civilization</t>
  </si>
  <si>
    <t>2003-12-10</t>
  </si>
  <si>
    <t>1347127:eng</t>
  </si>
  <si>
    <t>253652</t>
  </si>
  <si>
    <t>991001963069702656</t>
  </si>
  <si>
    <t>2267089020002656</t>
  </si>
  <si>
    <t>32285002300159</t>
  </si>
  <si>
    <t>893903635</t>
  </si>
  <si>
    <t>D226.7 .H67 1991</t>
  </si>
  <si>
    <t>0                      D  0226700H  67          1991</t>
  </si>
  <si>
    <t>Women who would be kings : female rulers of the sixteenth century / by Lisa Hopkins.</t>
  </si>
  <si>
    <t>Hopkins, Lisa, 1962-</t>
  </si>
  <si>
    <t>London : Vision Press ; New York : St. Martin's Press, 1991.</t>
  </si>
  <si>
    <t>1992-10-14</t>
  </si>
  <si>
    <t>1992-05-15</t>
  </si>
  <si>
    <t>1108742045:eng</t>
  </si>
  <si>
    <t>23463218</t>
  </si>
  <si>
    <t>991001866089702656</t>
  </si>
  <si>
    <t>2255809040002656</t>
  </si>
  <si>
    <t>9780312065959</t>
  </si>
  <si>
    <t>32285001116283</t>
  </si>
  <si>
    <t>893534733</t>
  </si>
  <si>
    <t>D228 .E4 1964</t>
  </si>
  <si>
    <t>0                      D  0228000E  4           1964</t>
  </si>
  <si>
    <t>Reformation Europe, 1517-1559 / G. R. Elton.</t>
  </si>
  <si>
    <t>Elton, G. R. (Geoffrey Rudolph)</t>
  </si>
  <si>
    <t>Cleveland : Meridian Books, [1964, c1963]</t>
  </si>
  <si>
    <t>Meridian histories of modern Europe</t>
  </si>
  <si>
    <t>1998-10-06</t>
  </si>
  <si>
    <t>915768:eng</t>
  </si>
  <si>
    <t>2360214</t>
  </si>
  <si>
    <t>991004096409702656</t>
  </si>
  <si>
    <t>2272819190002656</t>
  </si>
  <si>
    <t>32285001186070</t>
  </si>
  <si>
    <t>893349606</t>
  </si>
  <si>
    <t>D228 .L49 1995</t>
  </si>
  <si>
    <t>0                      D  0228000L  49          1995</t>
  </si>
  <si>
    <t>Cultures in conflict : Christians, Muslims, and Jews in the age of discovery / Bernard Lewis.</t>
  </si>
  <si>
    <t>2000-01-21</t>
  </si>
  <si>
    <t>1995-03-21</t>
  </si>
  <si>
    <t>43977039:eng</t>
  </si>
  <si>
    <t>30110182</t>
  </si>
  <si>
    <t>991002321459702656</t>
  </si>
  <si>
    <t>2256101680002656</t>
  </si>
  <si>
    <t>9780195090260</t>
  </si>
  <si>
    <t>32285002003399</t>
  </si>
  <si>
    <t>893510590</t>
  </si>
  <si>
    <t>D228 .N43</t>
  </si>
  <si>
    <t>0                      D  0228000N  43</t>
  </si>
  <si>
    <t>The Renaissance and Reformation : a short history / [by] JohnF. H. New.</t>
  </si>
  <si>
    <t>New, John F. H.</t>
  </si>
  <si>
    <t>New York : Wiley, 1969.</t>
  </si>
  <si>
    <t>1150895384:eng</t>
  </si>
  <si>
    <t>13293</t>
  </si>
  <si>
    <t>991000005819702656</t>
  </si>
  <si>
    <t>2266379780002656</t>
  </si>
  <si>
    <t>9780471633402</t>
  </si>
  <si>
    <t>32285001186088</t>
  </si>
  <si>
    <t>893871313</t>
  </si>
  <si>
    <t>D228 .T7</t>
  </si>
  <si>
    <t>0                      D  0228000T  7</t>
  </si>
  <si>
    <t>The age of expansion; Europe and the world, 1559-1660. Texts by Henry Kamen [and others]. Edited by Hugh Trevor-Roper.</t>
  </si>
  <si>
    <t>Trevor-Roper, H. R. (Hugh Redwald), 1914-2003.</t>
  </si>
  <si>
    <t>New York, McGraw-Hill [1968]</t>
  </si>
  <si>
    <t>2004-03-27</t>
  </si>
  <si>
    <t>890962086:eng</t>
  </si>
  <si>
    <t>325845</t>
  </si>
  <si>
    <t>991002360669702656</t>
  </si>
  <si>
    <t>2269827360002656</t>
  </si>
  <si>
    <t>32285002300274</t>
  </si>
  <si>
    <t>893316728</t>
  </si>
  <si>
    <t>D234 .R87 1986</t>
  </si>
  <si>
    <t>0                      D  0234000R  87          1986</t>
  </si>
  <si>
    <t>Peacemaking in the Renaissance / Joycelyne G. Russell.</t>
  </si>
  <si>
    <t>Russell, Joycelyne Gledhill.</t>
  </si>
  <si>
    <t>Philadelphia : University of Pennsylvania Press, 1986.</t>
  </si>
  <si>
    <t>2005-01-12</t>
  </si>
  <si>
    <t>4820121:eng</t>
  </si>
  <si>
    <t>13358536</t>
  </si>
  <si>
    <t>991000816269702656</t>
  </si>
  <si>
    <t>2267909530002656</t>
  </si>
  <si>
    <t>9780812280302</t>
  </si>
  <si>
    <t>32285001186120</t>
  </si>
  <si>
    <t>893865714</t>
  </si>
  <si>
    <t>D234 .S86 1973b</t>
  </si>
  <si>
    <t>0                      D  0234000S  86          1973b</t>
  </si>
  <si>
    <t>The Massacre of St. Bartholomew and the European conflict, 1559-1572 [by] N. M. Sutherland.</t>
  </si>
  <si>
    <t>Sutherland, N. M. (Nicola Mary), 1925-</t>
  </si>
  <si>
    <t>New York, Barnes &amp; Noble [1973]</t>
  </si>
  <si>
    <t>1998-08-26</t>
  </si>
  <si>
    <t>5618401910:eng</t>
  </si>
  <si>
    <t>674102</t>
  </si>
  <si>
    <t>991003130979702656</t>
  </si>
  <si>
    <t>2269351060002656</t>
  </si>
  <si>
    <t>9780064966207</t>
  </si>
  <si>
    <t>32285002300357</t>
  </si>
  <si>
    <t>893887169</t>
  </si>
  <si>
    <t>D24 .J86 2001</t>
  </si>
  <si>
    <t>0                      D  0024000J  86          2001</t>
  </si>
  <si>
    <t>Fire / Sebastian Junger.</t>
  </si>
  <si>
    <t>Junger, Sebastian.</t>
  </si>
  <si>
    <t>New York : W.W. Norton &amp; Co., c2001.</t>
  </si>
  <si>
    <t>2001-10-25</t>
  </si>
  <si>
    <t>2001-10-24</t>
  </si>
  <si>
    <t>1152225388:eng</t>
  </si>
  <si>
    <t>47717938</t>
  </si>
  <si>
    <t>991003645859702656</t>
  </si>
  <si>
    <t>2271385860002656</t>
  </si>
  <si>
    <t>9780393010466</t>
  </si>
  <si>
    <t>32285004415062</t>
  </si>
  <si>
    <t>893799978</t>
  </si>
  <si>
    <t>D24 .K43 1975a</t>
  </si>
  <si>
    <t>0                      D  0024000K  43          1975a</t>
  </si>
  <si>
    <t>The greatest disasters of the 20th century / Frances Kennett.</t>
  </si>
  <si>
    <t>Kennett, Frances.</t>
  </si>
  <si>
    <t>[s.l.] : Castle Books ; Secaucus, N.J. : distributed by Book Sales, 1975</t>
  </si>
  <si>
    <t>1999-09-16</t>
  </si>
  <si>
    <t>2516979:eng</t>
  </si>
  <si>
    <t>1677813</t>
  </si>
  <si>
    <t>991003866079702656</t>
  </si>
  <si>
    <t>2269324750002656</t>
  </si>
  <si>
    <t>9780890090428</t>
  </si>
  <si>
    <t>32285002296050</t>
  </si>
  <si>
    <t>893699514</t>
  </si>
  <si>
    <t>D24 .M8</t>
  </si>
  <si>
    <t>0                      D  0024000M  8</t>
  </si>
  <si>
    <t>Historical tales, the romance of realty, by Prof. Charles morris...</t>
  </si>
  <si>
    <t>Morris, Charles, 1833-1922.</t>
  </si>
  <si>
    <t>Los Angeles, Cal., The Angelius university [c1908]</t>
  </si>
  <si>
    <t>1908</t>
  </si>
  <si>
    <t>[Angelius ed.]</t>
  </si>
  <si>
    <t>Text-books of the Angelus university course in the history of the worlds greatest nations</t>
  </si>
  <si>
    <t>1997-01-08</t>
  </si>
  <si>
    <t>10792218559:eng</t>
  </si>
  <si>
    <t>1804827</t>
  </si>
  <si>
    <t>991003894159702656</t>
  </si>
  <si>
    <t>2272003380002656</t>
  </si>
  <si>
    <t>32285002296092</t>
  </si>
  <si>
    <t>893875429</t>
  </si>
  <si>
    <t>32285002296167</t>
  </si>
  <si>
    <t>893888074</t>
  </si>
  <si>
    <t>V.15</t>
  </si>
  <si>
    <t>32285002296209</t>
  </si>
  <si>
    <t>893869024</t>
  </si>
  <si>
    <t>32285002296076</t>
  </si>
  <si>
    <t>893894337</t>
  </si>
  <si>
    <t>V.13</t>
  </si>
  <si>
    <t>32285002296183</t>
  </si>
  <si>
    <t>893869027</t>
  </si>
  <si>
    <t>32285002296175</t>
  </si>
  <si>
    <t>893894338</t>
  </si>
  <si>
    <t>32285002296134</t>
  </si>
  <si>
    <t>893869022</t>
  </si>
  <si>
    <t>V.14</t>
  </si>
  <si>
    <t>32285002296191</t>
  </si>
  <si>
    <t>893888072</t>
  </si>
  <si>
    <t>32285002296100</t>
  </si>
  <si>
    <t>893869023</t>
  </si>
  <si>
    <t>32285002296068</t>
  </si>
  <si>
    <t>893869025</t>
  </si>
  <si>
    <t>32285002296118</t>
  </si>
  <si>
    <t>893888073</t>
  </si>
  <si>
    <t>32285002296142</t>
  </si>
  <si>
    <t>893869026</t>
  </si>
  <si>
    <t>32285002296084</t>
  </si>
  <si>
    <t>893894336</t>
  </si>
  <si>
    <t>32285002296126</t>
  </si>
  <si>
    <t>893875428</t>
  </si>
  <si>
    <t>32285002296159</t>
  </si>
  <si>
    <t>893888075</t>
  </si>
  <si>
    <t>D24 .P3</t>
  </si>
  <si>
    <t>0                      D  0024000P  3</t>
  </si>
  <si>
    <t>Some lies and errors of history. By Rev. Reuben Parsons. Reprinted from the "Ave Maria."</t>
  </si>
  <si>
    <t>Parsons, Reuben, 1841-1906.</t>
  </si>
  <si>
    <t>Notre Dame, Ind., Office of the "Ave Maria" [c1893]</t>
  </si>
  <si>
    <t>1893</t>
  </si>
  <si>
    <t>2d and enl. ed.</t>
  </si>
  <si>
    <t>2004-12-08</t>
  </si>
  <si>
    <t>1966381:eng</t>
  </si>
  <si>
    <t>1028227</t>
  </si>
  <si>
    <t>991003480859702656</t>
  </si>
  <si>
    <t>2255084400002656</t>
  </si>
  <si>
    <t>32285002296217</t>
  </si>
  <si>
    <t>893511985</t>
  </si>
  <si>
    <t>D246 .A83 1969b</t>
  </si>
  <si>
    <t>0                      D  0246000A  83          1969b</t>
  </si>
  <si>
    <t>The golden century: Europe, 1598-1715 [by] Maurice Ashley.</t>
  </si>
  <si>
    <t>Ashley, Maurice, 1907-1994.</t>
  </si>
  <si>
    <t>New York, Praeger [1969, c1968]</t>
  </si>
  <si>
    <t>Praeger history of civilization</t>
  </si>
  <si>
    <t>889241132:eng</t>
  </si>
  <si>
    <t>3840</t>
  </si>
  <si>
    <t>991005435719702656</t>
  </si>
  <si>
    <t>2265744510002656</t>
  </si>
  <si>
    <t>32285002300381</t>
  </si>
  <si>
    <t>893236832</t>
  </si>
  <si>
    <t>D246 .B55</t>
  </si>
  <si>
    <t>0                      D  0246000B  55</t>
  </si>
  <si>
    <t>Age of kings / by Charles Blitzer and the editors of Time-Life Books.</t>
  </si>
  <si>
    <t>Blitzer, Charles.</t>
  </si>
  <si>
    <t>New York : Time, inc., [1967]</t>
  </si>
  <si>
    <t>Great ages of man; a history of the world's cultures</t>
  </si>
  <si>
    <t>1998-04-16</t>
  </si>
  <si>
    <t>1991-09-10</t>
  </si>
  <si>
    <t>467314:eng</t>
  </si>
  <si>
    <t>418553</t>
  </si>
  <si>
    <t>991002734269702656</t>
  </si>
  <si>
    <t>2261172770002656</t>
  </si>
  <si>
    <t>32285000733757</t>
  </si>
  <si>
    <t>893239430</t>
  </si>
  <si>
    <t>D246 .H8 1962</t>
  </si>
  <si>
    <t>0                      D  0246000H  8           1962</t>
  </si>
  <si>
    <t>Das Zeitalter des Absolutismus, 1600-1789 / von Walther Hubatsch.</t>
  </si>
  <si>
    <t>Hubatsch, Walther, 1915-1984.</t>
  </si>
  <si>
    <t>[Braunschweig] : G. Westermann, [1962]</t>
  </si>
  <si>
    <t>2001-08-09</t>
  </si>
  <si>
    <t>2001-08-08</t>
  </si>
  <si>
    <t>350426017:ger</t>
  </si>
  <si>
    <t>542740</t>
  </si>
  <si>
    <t>991003600759702656</t>
  </si>
  <si>
    <t>2266725480002656</t>
  </si>
  <si>
    <t>32285004376637</t>
  </si>
  <si>
    <t>893505752</t>
  </si>
  <si>
    <t>D246 .M28</t>
  </si>
  <si>
    <t>0                      D  0246000M  28</t>
  </si>
  <si>
    <t>Europe in the seventeenth century.</t>
  </si>
  <si>
    <t>Maland, David.</t>
  </si>
  <si>
    <t>London, Macmillan; New York, St. Martin's P., 1966.</t>
  </si>
  <si>
    <t>2001-11-29</t>
  </si>
  <si>
    <t>3768406943:eng</t>
  </si>
  <si>
    <t>390828</t>
  </si>
  <si>
    <t>991002659219702656</t>
  </si>
  <si>
    <t>2261916370002656</t>
  </si>
  <si>
    <t>32285002300399</t>
  </si>
  <si>
    <t>893880225</t>
  </si>
  <si>
    <t>D246 .M33 1970</t>
  </si>
  <si>
    <t>0                      D  0246000M  33          1970</t>
  </si>
  <si>
    <t>Letters writ by a Turkish spy / by Giovanni P. Marana ; selected and edited by Arthur J. Weitzman.</t>
  </si>
  <si>
    <t>Marana, Giovanni Paolo, 1642-1693.</t>
  </si>
  <si>
    <t>New York : Distributed by Columbia University Press, 1970.</t>
  </si>
  <si>
    <t>Temple University publications</t>
  </si>
  <si>
    <t>2004-10-14</t>
  </si>
  <si>
    <t>5611505908:eng</t>
  </si>
  <si>
    <t>104300</t>
  </si>
  <si>
    <t>991004398689702656</t>
  </si>
  <si>
    <t>2260759670002656</t>
  </si>
  <si>
    <t>9780877220008</t>
  </si>
  <si>
    <t>32285005004618</t>
  </si>
  <si>
    <t>893506803</t>
  </si>
  <si>
    <t>D25 .F935 1987</t>
  </si>
  <si>
    <t>0                      D  0025000F  935         1987</t>
  </si>
  <si>
    <t>A military history of the Western World / by J.F.C. Fuller.</t>
  </si>
  <si>
    <t>Fuller, J. F. C. (John Frederick Charles), 1878-1966.</t>
  </si>
  <si>
    <t>New York, N.Y. : Da Capo Press, [1987], c1954-c1956.</t>
  </si>
  <si>
    <t>A Da Capo paperback</t>
  </si>
  <si>
    <t>1998-11-23</t>
  </si>
  <si>
    <t>3769381465:eng</t>
  </si>
  <si>
    <t>15790821</t>
  </si>
  <si>
    <t>991001061979702656</t>
  </si>
  <si>
    <t>2260397790002656</t>
  </si>
  <si>
    <t>9780306803048</t>
  </si>
  <si>
    <t>32285001169126</t>
  </si>
  <si>
    <t>893315469</t>
  </si>
  <si>
    <t>32285001169100</t>
  </si>
  <si>
    <t>893315470</t>
  </si>
  <si>
    <t>32285001169118</t>
  </si>
  <si>
    <t>893340135</t>
  </si>
  <si>
    <t>D25 .W45 2000</t>
  </si>
  <si>
    <t>0                      D  0025000W  45          2000</t>
  </si>
  <si>
    <t>A traveller's guide to the battle for the German frontier / by Charles Whiting.</t>
  </si>
  <si>
    <t>Whiting, Charles, 1926-2007.</t>
  </si>
  <si>
    <t>New York : Interlink Books, 2000.</t>
  </si>
  <si>
    <t>Traveller's guides to the battles and battlefields of World War II</t>
  </si>
  <si>
    <t>2002-04-22</t>
  </si>
  <si>
    <t>137781850:eng</t>
  </si>
  <si>
    <t>42726154</t>
  </si>
  <si>
    <t>991003779629702656</t>
  </si>
  <si>
    <t>2262308050002656</t>
  </si>
  <si>
    <t>9781566563420</t>
  </si>
  <si>
    <t>32285004481940</t>
  </si>
  <si>
    <t>893617757</t>
  </si>
  <si>
    <t>D25.5 .W37 1973</t>
  </si>
  <si>
    <t>0                      D  0025500W  37          1973</t>
  </si>
  <si>
    <t>War and society; historical essays in honour and memory of J. R. Western, 1928-1971 / edited by M. R. D. Foot.</t>
  </si>
  <si>
    <t>New York : Barnes &amp; Noble Books, 1973.</t>
  </si>
  <si>
    <t>1997-04-23</t>
  </si>
  <si>
    <t>1992-01-24</t>
  </si>
  <si>
    <t>891553483:eng</t>
  </si>
  <si>
    <t>815513</t>
  </si>
  <si>
    <t>991003293679702656</t>
  </si>
  <si>
    <t>2272434360002656</t>
  </si>
  <si>
    <t>9780064921404</t>
  </si>
  <si>
    <t>32285000918580</t>
  </si>
  <si>
    <t>893874626</t>
  </si>
  <si>
    <t>D25.A2 D53 1988</t>
  </si>
  <si>
    <t>0                      D  0025000A  2                  D  53          1988</t>
  </si>
  <si>
    <t>Dictionary of battles : the world's key battles from 405 BC to today / general editor, David Chandler.</t>
  </si>
  <si>
    <t>New York : H. Holt, 1988, c1987.</t>
  </si>
  <si>
    <t>1993-10-12</t>
  </si>
  <si>
    <t>54974739:eng</t>
  </si>
  <si>
    <t>16005887</t>
  </si>
  <si>
    <t>991001075309702656</t>
  </si>
  <si>
    <t>2262796230002656</t>
  </si>
  <si>
    <t>9780805004410</t>
  </si>
  <si>
    <t>32285001169092</t>
  </si>
  <si>
    <t>893803320</t>
  </si>
  <si>
    <t>D258 .G11</t>
  </si>
  <si>
    <t>0                      D  0258000G  11</t>
  </si>
  <si>
    <t>The thirty years' war, 1618-1648, by Samuel Rawson Gardiner.</t>
  </si>
  <si>
    <t>Gardiner, Samuel Rawson, 1829-1902.</t>
  </si>
  <si>
    <t>New York, Scribner, 1889.</t>
  </si>
  <si>
    <t>1889</t>
  </si>
  <si>
    <t>Epochs of history</t>
  </si>
  <si>
    <t>499584:eng</t>
  </si>
  <si>
    <t>1155928</t>
  </si>
  <si>
    <t>991003576739702656</t>
  </si>
  <si>
    <t>2265958110002656</t>
  </si>
  <si>
    <t>32285002300449</t>
  </si>
  <si>
    <t>893410425</t>
  </si>
  <si>
    <t>D258 .P6413</t>
  </si>
  <si>
    <t>0                      D  0258000P  6413</t>
  </si>
  <si>
    <t>The thirty years war [by] J. V. Polišenský. Translated from the Czech by Robert Evans.</t>
  </si>
  <si>
    <t>Polišenský, Josef V.</t>
  </si>
  <si>
    <t>Berkeley, University of California Press, 1971.</t>
  </si>
  <si>
    <t>1998-09-26</t>
  </si>
  <si>
    <t>1995-02-28</t>
  </si>
  <si>
    <t>118187864:eng</t>
  </si>
  <si>
    <t>279086</t>
  </si>
  <si>
    <t>991002181179702656</t>
  </si>
  <si>
    <t>2261675260002656</t>
  </si>
  <si>
    <t>9780520018686</t>
  </si>
  <si>
    <t>32285002010907</t>
  </si>
  <si>
    <t>893510400</t>
  </si>
  <si>
    <t>D273 .A8</t>
  </si>
  <si>
    <t>0                      D  0273000A  8</t>
  </si>
  <si>
    <t>A history of Europe, 1648-1815 / [by] Maurice Ashley.</t>
  </si>
  <si>
    <t>Englewood Cliffs, N.J. : Prentice-Hall, [1973]</t>
  </si>
  <si>
    <t>2003-11-24</t>
  </si>
  <si>
    <t>375698862:eng</t>
  </si>
  <si>
    <t>572849</t>
  </si>
  <si>
    <t>991003005719702656</t>
  </si>
  <si>
    <t>2272565040002656</t>
  </si>
  <si>
    <t>9780133900705</t>
  </si>
  <si>
    <t>32285000308105</t>
  </si>
  <si>
    <t>893415921</t>
  </si>
  <si>
    <t>D273 .D69</t>
  </si>
  <si>
    <t>0                      D  0273000D  69</t>
  </si>
  <si>
    <t>The old European order, 1660-1800 / William Doyle.</t>
  </si>
  <si>
    <t>Doyle, William, 1942-</t>
  </si>
  <si>
    <t>Oxford ; New York : Oxford University Press, 1978.</t>
  </si>
  <si>
    <t>The Short Oxford history of the modern world</t>
  </si>
  <si>
    <t>1999-12-01</t>
  </si>
  <si>
    <t>395384:eng</t>
  </si>
  <si>
    <t>4004203</t>
  </si>
  <si>
    <t>991004564649702656</t>
  </si>
  <si>
    <t>2265259180002656</t>
  </si>
  <si>
    <t>9780199130733</t>
  </si>
  <si>
    <t>32285000271477</t>
  </si>
  <si>
    <t>893337880</t>
  </si>
  <si>
    <t>D273 .D69 1992</t>
  </si>
  <si>
    <t>0                      D  0273000D  69          1992</t>
  </si>
  <si>
    <t>Oxford ; New York : Oxford University Press, 1992.</t>
  </si>
  <si>
    <t>2005-10-16</t>
  </si>
  <si>
    <t>2003-09-10</t>
  </si>
  <si>
    <t>27413350</t>
  </si>
  <si>
    <t>991004119529702656</t>
  </si>
  <si>
    <t>2257701230002656</t>
  </si>
  <si>
    <t>9780198203865</t>
  </si>
  <si>
    <t>32285004781752</t>
  </si>
  <si>
    <t>893525678</t>
  </si>
  <si>
    <t>D273.5 .M36 1983</t>
  </si>
  <si>
    <t>0                      D  0273500M  36          1983</t>
  </si>
  <si>
    <t>The rise of the great powers, 1648-1815 / Derek McKay and H.M. Scott.</t>
  </si>
  <si>
    <t>McKay, Derek.</t>
  </si>
  <si>
    <t>London ; New York : Longman, 1983.</t>
  </si>
  <si>
    <t>1981142:eng</t>
  </si>
  <si>
    <t>8194784</t>
  </si>
  <si>
    <t>991005216259702656</t>
  </si>
  <si>
    <t>2268716960002656</t>
  </si>
  <si>
    <t>9780582485532</t>
  </si>
  <si>
    <t>32285000271493</t>
  </si>
  <si>
    <t>893260740</t>
  </si>
  <si>
    <t>D274.E8 H4</t>
  </si>
  <si>
    <t>0                      D  0274000E  8                  H  4</t>
  </si>
  <si>
    <t>Prince Eugen of Savoy.</t>
  </si>
  <si>
    <t>Henderson, Nicholas, 1919-2009.</t>
  </si>
  <si>
    <t>New York : F.A. Praeger, [1965, c1964]</t>
  </si>
  <si>
    <t>2000-06-29</t>
  </si>
  <si>
    <t>1995-02-10</t>
  </si>
  <si>
    <t>194130245:eng</t>
  </si>
  <si>
    <t>391806</t>
  </si>
  <si>
    <t>991002661979702656</t>
  </si>
  <si>
    <t>2260780420002656</t>
  </si>
  <si>
    <t>32285001988830</t>
  </si>
  <si>
    <t>893792742</t>
  </si>
  <si>
    <t>D274.E8 M15</t>
  </si>
  <si>
    <t>0                      D  0274000E  8                  M  15</t>
  </si>
  <si>
    <t>Prince Eugene of Savoy / Derek McKay. --</t>
  </si>
  <si>
    <t>London : Thames and Hudson, c1977.</t>
  </si>
  <si>
    <t>Men in office</t>
  </si>
  <si>
    <t>1995-02-01</t>
  </si>
  <si>
    <t>147005144:eng</t>
  </si>
  <si>
    <t>3716509</t>
  </si>
  <si>
    <t>991004500779702656</t>
  </si>
  <si>
    <t>2265778620002656</t>
  </si>
  <si>
    <t>9780600870074</t>
  </si>
  <si>
    <t>32285001186179</t>
  </si>
  <si>
    <t>893904896</t>
  </si>
  <si>
    <t>D286 .A5</t>
  </si>
  <si>
    <t>0                      D  0286000A  5</t>
  </si>
  <si>
    <t>Europe in the eighteenth century, 1713-1783 / M.S. Anderson.</t>
  </si>
  <si>
    <t>Anderson, M. S. (Matthew Smith)</t>
  </si>
  <si>
    <t>London ; New York : Longman, 1976.</t>
  </si>
  <si>
    <t>2001-11-27</t>
  </si>
  <si>
    <t>1992-12-02</t>
  </si>
  <si>
    <t>1528717:eng</t>
  </si>
  <si>
    <t>2089738</t>
  </si>
  <si>
    <t>991004009739702656</t>
  </si>
  <si>
    <t>2263280520002656</t>
  </si>
  <si>
    <t>9780582486713</t>
  </si>
  <si>
    <t>32285001411577</t>
  </si>
  <si>
    <t>893806539</t>
  </si>
  <si>
    <t>D286 .A55</t>
  </si>
  <si>
    <t>0                      D  0286000A  55</t>
  </si>
  <si>
    <t>Eighteenth-century Europe, the 1680s to 1815.</t>
  </si>
  <si>
    <t>Andrews, Stuart.</t>
  </si>
  <si>
    <t>[London] : Longmans, [1965]</t>
  </si>
  <si>
    <t>2005-09-25</t>
  </si>
  <si>
    <t>836628167:eng</t>
  </si>
  <si>
    <t>1138894</t>
  </si>
  <si>
    <t>991003566259702656</t>
  </si>
  <si>
    <t>2270563860002656</t>
  </si>
  <si>
    <t>32285001411569</t>
  </si>
  <si>
    <t>893874893</t>
  </si>
  <si>
    <t>D286 .A57 1968</t>
  </si>
  <si>
    <t>0                      D  0286000A  57          1968</t>
  </si>
  <si>
    <t>Enlightened despotism.</t>
  </si>
  <si>
    <t>Andrews, Stuart, compiler.</t>
  </si>
  <si>
    <t>New York, Barnes &amp; Noble [1968, c1967]</t>
  </si>
  <si>
    <t>Problems and perspectives in history</t>
  </si>
  <si>
    <t>1999-12-02</t>
  </si>
  <si>
    <t>132942057:eng</t>
  </si>
  <si>
    <t>431386</t>
  </si>
  <si>
    <t>991002763829702656</t>
  </si>
  <si>
    <t>2271307490002656</t>
  </si>
  <si>
    <t>32285002300712</t>
  </si>
  <si>
    <t>893698238</t>
  </si>
  <si>
    <t>D286 .J4</t>
  </si>
  <si>
    <t>0                      D  0286000J  4</t>
  </si>
  <si>
    <t>Religion, commerce, liberty; a record of a time of storm and change, 1683-1793, by J. W. Jeudwine.</t>
  </si>
  <si>
    <t>Jeudwine, J. W. (John Wynne), 1852-1928.</t>
  </si>
  <si>
    <t>London, New York, Longmans, Green, 1925.</t>
  </si>
  <si>
    <t>1925</t>
  </si>
  <si>
    <t>2081549:eng</t>
  </si>
  <si>
    <t>1151847</t>
  </si>
  <si>
    <t>991003574739702656</t>
  </si>
  <si>
    <t>2268056490002656</t>
  </si>
  <si>
    <t>32285002300795</t>
  </si>
  <si>
    <t>893705374</t>
  </si>
  <si>
    <t>D286 .M33</t>
  </si>
  <si>
    <t>0                      D  0286000M  33</t>
  </si>
  <si>
    <t>The age of reason.</t>
  </si>
  <si>
    <t>Ithaca, Cornell University Press [1951]</t>
  </si>
  <si>
    <t>The development of Western civilization</t>
  </si>
  <si>
    <t>2005-10-19</t>
  </si>
  <si>
    <t>450997:eng</t>
  </si>
  <si>
    <t>392184</t>
  </si>
  <si>
    <t>991002663289702656</t>
  </si>
  <si>
    <t>2263565910002656</t>
  </si>
  <si>
    <t>32285002300803</t>
  </si>
  <si>
    <t>893498391</t>
  </si>
  <si>
    <t>D286 .W53</t>
  </si>
  <si>
    <t>0                      D  0286000W  53</t>
  </si>
  <si>
    <t>Enlightened despotism : reform or reaction?</t>
  </si>
  <si>
    <t>Wines, Roger compiler.</t>
  </si>
  <si>
    <t>Boston : Heath, [1967]</t>
  </si>
  <si>
    <t>1992-02-28</t>
  </si>
  <si>
    <t>285148430:eng</t>
  </si>
  <si>
    <t>342204</t>
  </si>
  <si>
    <t>991002418749702656</t>
  </si>
  <si>
    <t>2266353660002656</t>
  </si>
  <si>
    <t>32285000938653</t>
  </si>
  <si>
    <t>893804592</t>
  </si>
  <si>
    <t>D295 .T728 2002</t>
  </si>
  <si>
    <t>0                      D  0295000T  728         2002</t>
  </si>
  <si>
    <t>The transformation of European politics, 1763-1848 : episode or model in modern history? / Peter Krüger and Paul W. Schröder (eds.) ; in cooperation with Katja Wüstenbecker.</t>
  </si>
  <si>
    <t>Münster : Lit Verlag ; New York : Palgrave Macmillan, 2002.</t>
  </si>
  <si>
    <t>Forschungen zur Geschichte der Neuzeit. Marburger Beiträge ; 5</t>
  </si>
  <si>
    <t>2044401564:eng</t>
  </si>
  <si>
    <t>48249259</t>
  </si>
  <si>
    <t>991004160139702656</t>
  </si>
  <si>
    <t>2262210300002656</t>
  </si>
  <si>
    <t>9780312295523</t>
  </si>
  <si>
    <t>32285004849120</t>
  </si>
  <si>
    <t>893318870</t>
  </si>
  <si>
    <t>D297 .M37 2001</t>
  </si>
  <si>
    <t>0                      D  0297000M  37          2001</t>
  </si>
  <si>
    <t>The Seven Years' War / Daniel Marston.</t>
  </si>
  <si>
    <t>Marston, Daniel.</t>
  </si>
  <si>
    <t>Oxford : Osprey Military, 2001.</t>
  </si>
  <si>
    <t>2003-03-24</t>
  </si>
  <si>
    <t>20379147:eng</t>
  </si>
  <si>
    <t>59550463</t>
  </si>
  <si>
    <t>991003993319702656</t>
  </si>
  <si>
    <t>2266496510002656</t>
  </si>
  <si>
    <t>9781841761916</t>
  </si>
  <si>
    <t>32285004686134</t>
  </si>
  <si>
    <t>893593137</t>
  </si>
  <si>
    <t>D299 .A87</t>
  </si>
  <si>
    <t>0                      D  0299000A  87</t>
  </si>
  <si>
    <t>Modern imperialism, Western overseas expansion, and its aftermath, 1776-1965, edited with an introd. by Ralph A. Austen.</t>
  </si>
  <si>
    <t>Austen, Ralph A. compiler.</t>
  </si>
  <si>
    <t>Lexington, Mass., Heath [1969]</t>
  </si>
  <si>
    <t>Studies in history and politics</t>
  </si>
  <si>
    <t>2005-11-28</t>
  </si>
  <si>
    <t>1245067:eng</t>
  </si>
  <si>
    <t>73647</t>
  </si>
  <si>
    <t>991000403179702656</t>
  </si>
  <si>
    <t>2269964150002656</t>
  </si>
  <si>
    <t>32285002300928</t>
  </si>
  <si>
    <t>893796609</t>
  </si>
  <si>
    <t>D299 .C735 1966</t>
  </si>
  <si>
    <t>0                      D  0299000C  735         1966</t>
  </si>
  <si>
    <t>Europe, 1815-1914 [by] Gordon A. Craig.</t>
  </si>
  <si>
    <t>Craig, Gordon Alexander, 1913-2005.</t>
  </si>
  <si>
    <t>New York, Holt, Rinehart, and Winston [c1966]</t>
  </si>
  <si>
    <t>1999-09-15</t>
  </si>
  <si>
    <t>115238388:eng</t>
  </si>
  <si>
    <t>2805436</t>
  </si>
  <si>
    <t>991004249449702656</t>
  </si>
  <si>
    <t>2266823320002656</t>
  </si>
  <si>
    <t>9780030595608</t>
  </si>
  <si>
    <t>32285002300944</t>
  </si>
  <si>
    <t>893605809</t>
  </si>
  <si>
    <t>D299 .W43 1977</t>
  </si>
  <si>
    <t>0                      D  0299000W  43          1977</t>
  </si>
  <si>
    <t>Conservatism in Europe, 1770-1945 : traditionalism, reaction, and counter-revolution / John Weiss.</t>
  </si>
  <si>
    <t>Weiss, John, 1927-</t>
  </si>
  <si>
    <t>[New York] : Harcourt Brace Jovanovich, 1977.</t>
  </si>
  <si>
    <t>2003-11-25</t>
  </si>
  <si>
    <t>320806410:eng</t>
  </si>
  <si>
    <t>3275652</t>
  </si>
  <si>
    <t>991004395209702656</t>
  </si>
  <si>
    <t>2255486890002656</t>
  </si>
  <si>
    <t>9780155133754</t>
  </si>
  <si>
    <t>32285002301017</t>
  </si>
  <si>
    <t>893247538</t>
  </si>
  <si>
    <t>D308 .B7</t>
  </si>
  <si>
    <t>0                      D  0308000B  7</t>
  </si>
  <si>
    <t>The revolutionary period in Europe (1763-1815) by Henry Eldridge Bourne.</t>
  </si>
  <si>
    <t>Bourne, Henry Eldridge, 1862-1946.</t>
  </si>
  <si>
    <t>New York, The Century Co., 1914.</t>
  </si>
  <si>
    <t>The Century historical series [vii]</t>
  </si>
  <si>
    <t>1996-10-24</t>
  </si>
  <si>
    <t>1859841:eng</t>
  </si>
  <si>
    <t>917310</t>
  </si>
  <si>
    <t>991003380789702656</t>
  </si>
  <si>
    <t>2259950470002656</t>
  </si>
  <si>
    <t>32285002301025</t>
  </si>
  <si>
    <t>893610993</t>
  </si>
  <si>
    <t>D32 .A54 1997</t>
  </si>
  <si>
    <t>0                      D  0032000A  54          1997</t>
  </si>
  <si>
    <t>Without warning : threat assessment, intelligence, and global struggle / Mikhail A. Alexseev.</t>
  </si>
  <si>
    <t>Alexseev, Mikhail A., 1963-</t>
  </si>
  <si>
    <t>New York : St. Martin's Press, 1997.</t>
  </si>
  <si>
    <t>2001-05-16</t>
  </si>
  <si>
    <t>2001-04-17</t>
  </si>
  <si>
    <t>41844630:eng</t>
  </si>
  <si>
    <t>37418210</t>
  </si>
  <si>
    <t>991003527819702656</t>
  </si>
  <si>
    <t>2270647730002656</t>
  </si>
  <si>
    <t>9780312175382</t>
  </si>
  <si>
    <t>32285004312806</t>
  </si>
  <si>
    <t>893799838</t>
  </si>
  <si>
    <t>D32 .E98 2001</t>
  </si>
  <si>
    <t>0                      D  0032000E  98          2001</t>
  </si>
  <si>
    <t>Evolutionary interpretations of world politics / edited by William R. Thompson.</t>
  </si>
  <si>
    <t>New York : Routledge, 2001.</t>
  </si>
  <si>
    <t>2001-10-16</t>
  </si>
  <si>
    <t>34831398:eng</t>
  </si>
  <si>
    <t>45439919</t>
  </si>
  <si>
    <t>991003632999702656</t>
  </si>
  <si>
    <t>2269134050002656</t>
  </si>
  <si>
    <t>9780415930581</t>
  </si>
  <si>
    <t>32285004397336</t>
  </si>
  <si>
    <t>893262842</t>
  </si>
  <si>
    <t>D351 .B37</t>
  </si>
  <si>
    <t>0                      D  0351000B  37</t>
  </si>
  <si>
    <t>Nationalism, industrialization, and democracy, 1815-1914, edited by Thomas G. Barnes [and] Gerald D. Feldman.</t>
  </si>
  <si>
    <t>Barnes, Thomas G. (Thomas Garden), 1930-2010, compiler.</t>
  </si>
  <si>
    <t>Boston, Little, Brown [1972]</t>
  </si>
  <si>
    <t>Their A Documentary history of modern Europe [v. 3]</t>
  </si>
  <si>
    <t>1997-10-30</t>
  </si>
  <si>
    <t>1992-12-22</t>
  </si>
  <si>
    <t>498541402:eng</t>
  </si>
  <si>
    <t>287083</t>
  </si>
  <si>
    <t>991002208539702656</t>
  </si>
  <si>
    <t>2263284330002656</t>
  </si>
  <si>
    <t>32285001469344</t>
  </si>
  <si>
    <t>893257015</t>
  </si>
  <si>
    <t>D352 .F6 1970</t>
  </si>
  <si>
    <t>0                      D  0352000F  6           1970</t>
  </si>
  <si>
    <t>Makers of nineteenth-century Europe. Illustrated by D. H. Flenley.</t>
  </si>
  <si>
    <t>Flenley, Ralph, 1886-</t>
  </si>
  <si>
    <t>[London] J. M. Dent. Freeport, N.Y., Books for Libraries Press [1970]</t>
  </si>
  <si>
    <t>Essay index reprint series</t>
  </si>
  <si>
    <t>1996-01-22</t>
  </si>
  <si>
    <t>1992-04-13</t>
  </si>
  <si>
    <t>1248407:eng</t>
  </si>
  <si>
    <t>75516</t>
  </si>
  <si>
    <t>991000428019702656</t>
  </si>
  <si>
    <t>2255671730002656</t>
  </si>
  <si>
    <t>9780836915716</t>
  </si>
  <si>
    <t>32285001052405</t>
  </si>
  <si>
    <t>893407173</t>
  </si>
  <si>
    <t>D352.8.S3 A3</t>
  </si>
  <si>
    <t>0                      D  0352800S  3                  A  3</t>
  </si>
  <si>
    <t>The Saburov memoirs, or, Bismark &amp; Russia : being fresh light on the League of the Three Emperors, 1881 / by J.Y. Simpson.</t>
  </si>
  <si>
    <t>Saburov, Petr Aleksandrovich, 1835-1918.</t>
  </si>
  <si>
    <t>Cambridge [Cambridgeshire] : University Press, 1929.</t>
  </si>
  <si>
    <t>1929</t>
  </si>
  <si>
    <t>2003-03-03</t>
  </si>
  <si>
    <t>143495529:eng</t>
  </si>
  <si>
    <t>7497042</t>
  </si>
  <si>
    <t>991005120159702656</t>
  </si>
  <si>
    <t>2267609200002656</t>
  </si>
  <si>
    <t>32285002161288</t>
  </si>
  <si>
    <t>893242242</t>
  </si>
  <si>
    <t>D355 .M313 1968</t>
  </si>
  <si>
    <t>0                      D  0355000M  313         1968</t>
  </si>
  <si>
    <t>Karl Marx on colonialism and modernization; his despatches [sic] and other writings on China, India, Mexico, the Middle East and North Africa / edited with an introd. by Shlomo Avineri.</t>
  </si>
  <si>
    <t>Marx, Karl, 1818-1883.</t>
  </si>
  <si>
    <t>Garden City, N.Y. : Doubleday, 1968.</t>
  </si>
  <si>
    <t>197975450:eng</t>
  </si>
  <si>
    <t>390866</t>
  </si>
  <si>
    <t>991005355119702656</t>
  </si>
  <si>
    <t>2261993840002656</t>
  </si>
  <si>
    <t>32285001186286</t>
  </si>
  <si>
    <t>893601028</t>
  </si>
  <si>
    <t>D355 .W6 1963a</t>
  </si>
  <si>
    <t>0                      D  0355000W  6           1963a</t>
  </si>
  <si>
    <t>Three studies in European conservatism: Metternich, Guizot, the Catholic church in the nineteenth century.</t>
  </si>
  <si>
    <t>Woodward, E. L. (Ernest Llewellyn), 1890-1971.</t>
  </si>
  <si>
    <t>[London] F. Cass, 1963.</t>
  </si>
  <si>
    <t>196537714:eng</t>
  </si>
  <si>
    <t>1220842</t>
  </si>
  <si>
    <t>991003666289702656</t>
  </si>
  <si>
    <t>2262104010002656</t>
  </si>
  <si>
    <t>32285000271527</t>
  </si>
  <si>
    <t>893686798</t>
  </si>
  <si>
    <t>D358 .D52</t>
  </si>
  <si>
    <t>0                      D  0358000D  52</t>
  </si>
  <si>
    <t>Front page : 100 years of the Los Angeles times, 1881-1981 / by Digby Diehl ; introduction by Otis Chandler.</t>
  </si>
  <si>
    <t>Diehl, Digby.</t>
  </si>
  <si>
    <t>New York : H.N. Abrams, 1981.</t>
  </si>
  <si>
    <t>1992-10-22</t>
  </si>
  <si>
    <t>911959643:eng</t>
  </si>
  <si>
    <t>7576852</t>
  </si>
  <si>
    <t>991005135909702656</t>
  </si>
  <si>
    <t>2262620380002656</t>
  </si>
  <si>
    <t>9780810909250</t>
  </si>
  <si>
    <t>32285001186294</t>
  </si>
  <si>
    <t>893254528</t>
  </si>
  <si>
    <t>D358 .E97 1996</t>
  </si>
  <si>
    <t>0                      D  0358000E  97          1996</t>
  </si>
  <si>
    <t>Events that changed the world in the nineteenth century / edited by Frank W. Thackeray &amp; John E. Findling.</t>
  </si>
  <si>
    <t>Westport, Conn. : Greenwood Press, 1996.</t>
  </si>
  <si>
    <t>The Greenwood Press "Events that changed the world" series, 1078-7860</t>
  </si>
  <si>
    <t>1997-06-06</t>
  </si>
  <si>
    <t>474621085:eng</t>
  </si>
  <si>
    <t>33971035</t>
  </si>
  <si>
    <t>991002593459702656</t>
  </si>
  <si>
    <t>2264442230002656</t>
  </si>
  <si>
    <t>9780313290763</t>
  </si>
  <si>
    <t>32285002750452</t>
  </si>
  <si>
    <t>893409288</t>
  </si>
  <si>
    <t>D358 .S3 1929</t>
  </si>
  <si>
    <t>0                      D  0358000S  3           1929</t>
  </si>
  <si>
    <t>Modern and contemporary European history (1815-1928) by J. Salwyn Schapiro under the editorship of James T. Shotwell.</t>
  </si>
  <si>
    <t>Schapiro, J. Salwyn (Jacob Salwyn), 1879-1973.</t>
  </si>
  <si>
    <t>Boston, New York [etc.] Houghton Mifflin Company [c1929]</t>
  </si>
  <si>
    <t>1996-09-10</t>
  </si>
  <si>
    <t>2908537145:eng</t>
  </si>
  <si>
    <t>2021693</t>
  </si>
  <si>
    <t>991003983099702656</t>
  </si>
  <si>
    <t>2262782960002656</t>
  </si>
  <si>
    <t>32285002301181</t>
  </si>
  <si>
    <t>893611779</t>
  </si>
  <si>
    <t>D358.5 .E533</t>
  </si>
  <si>
    <t>0                      D  0358500E  533</t>
  </si>
  <si>
    <t>A history of the nineteenth century, year by year, by Edwin Emerson, jr. ... with an introduction by Georg Gottfried Gervinus, illustrated with sixteen colored plates and thirty-two full page, half-tone cuts and two maps.</t>
  </si>
  <si>
    <t>Emerson, Edwin, 1869-1959.</t>
  </si>
  <si>
    <t>New York, P.F. Collier and son, [1900]</t>
  </si>
  <si>
    <t>1900</t>
  </si>
  <si>
    <t>119447488:eng</t>
  </si>
  <si>
    <t>566431</t>
  </si>
  <si>
    <t>991002997869702656</t>
  </si>
  <si>
    <t>2256266070002656</t>
  </si>
  <si>
    <t>32285001052413</t>
  </si>
  <si>
    <t>893317533</t>
  </si>
  <si>
    <t>32285001186302</t>
  </si>
  <si>
    <t>893323618</t>
  </si>
  <si>
    <t>32285001186310</t>
  </si>
  <si>
    <t>893342119</t>
  </si>
  <si>
    <t>D359 .C71 1963</t>
  </si>
  <si>
    <t>0                      D  0359000C  71          1963</t>
  </si>
  <si>
    <t>History of Europe in the nineteenth century / Benedetto Croce ; translated from the Italian by Henry Furst.</t>
  </si>
  <si>
    <t>New York : Harcourt, Brace &amp; World, [1963, c1933]</t>
  </si>
  <si>
    <t>1st Harbinger Books ed.</t>
  </si>
  <si>
    <t>A Harbinger book, HO26</t>
  </si>
  <si>
    <t>3373765097:eng</t>
  </si>
  <si>
    <t>320935</t>
  </si>
  <si>
    <t>991003588189702656</t>
  </si>
  <si>
    <t>2255881140002656</t>
  </si>
  <si>
    <t>32285004334545</t>
  </si>
  <si>
    <t>893234311</t>
  </si>
  <si>
    <t>D360 .A5</t>
  </si>
  <si>
    <t>0                      D  0360000A  5</t>
  </si>
  <si>
    <t>Europe in the nineteenth century; a documentary analysis of change and conflict, by Eugene N. Anderson, Stanley J. Pincetl, Jr., [and] Donald J. Ziegler.</t>
  </si>
  <si>
    <t>Anderson, Eugene Newton, 1900-1984, editor.</t>
  </si>
  <si>
    <t>Indianapolis, Bobbs-Merrill, 1961]</t>
  </si>
  <si>
    <t>1346780:eng</t>
  </si>
  <si>
    <t>253544</t>
  </si>
  <si>
    <t>991001962519702656</t>
  </si>
  <si>
    <t>2267204900002656</t>
  </si>
  <si>
    <t>32285002301314</t>
  </si>
  <si>
    <t>893238493</t>
  </si>
  <si>
    <t>32285002301306</t>
  </si>
  <si>
    <t>893250660</t>
  </si>
  <si>
    <t>D361 .P64 2000</t>
  </si>
  <si>
    <t>0                      D  0361000P  64          2000</t>
  </si>
  <si>
    <t>Wars of empire / Douglas Porch.</t>
  </si>
  <si>
    <t>Porch, Douglas.</t>
  </si>
  <si>
    <t>London : Cassell, 2000.</t>
  </si>
  <si>
    <t>2002-01-25</t>
  </si>
  <si>
    <t>2002-01-09</t>
  </si>
  <si>
    <t>7516734:eng</t>
  </si>
  <si>
    <t>43501353</t>
  </si>
  <si>
    <t>991003692189702656</t>
  </si>
  <si>
    <t>2261082770002656</t>
  </si>
  <si>
    <t>9780304352715</t>
  </si>
  <si>
    <t>32285004447065</t>
  </si>
  <si>
    <t>893441601</t>
  </si>
  <si>
    <t>D363 .B34 1996</t>
  </si>
  <si>
    <t>0                      D  0363000B  34          1996</t>
  </si>
  <si>
    <t>Peace, war, and the European powers, 1814-1914 / C.J. Bartlett.</t>
  </si>
  <si>
    <t>Bartlett, C. J. (Christopher John), 1931-</t>
  </si>
  <si>
    <t>New York : St. Martin's Press, 1996.</t>
  </si>
  <si>
    <t>European history in perspective</t>
  </si>
  <si>
    <t>2005-09-12</t>
  </si>
  <si>
    <t>1997-03-25</t>
  </si>
  <si>
    <t>24134965:eng</t>
  </si>
  <si>
    <t>34281880</t>
  </si>
  <si>
    <t>991002614529702656</t>
  </si>
  <si>
    <t>2259099640002656</t>
  </si>
  <si>
    <t>9780312161378</t>
  </si>
  <si>
    <t>32285002475928</t>
  </si>
  <si>
    <t>893530239</t>
  </si>
  <si>
    <t>D363 .M29 1988</t>
  </si>
  <si>
    <t>0                      D  0363000M  29          1988</t>
  </si>
  <si>
    <t>The fate of nations : the search for national security in the nineteenth and twentieth centuries / Michael Mandelbaum.</t>
  </si>
  <si>
    <t>Mandelbaum, Michael.</t>
  </si>
  <si>
    <t>Cambridge ; New York : Cambridge University Press, 1988.</t>
  </si>
  <si>
    <t>2002-11-01</t>
  </si>
  <si>
    <t>836737122:eng</t>
  </si>
  <si>
    <t>17202885</t>
  </si>
  <si>
    <t>991001186069702656</t>
  </si>
  <si>
    <t>2258694680002656</t>
  </si>
  <si>
    <t>9780521357906</t>
  </si>
  <si>
    <t>32285000271568</t>
  </si>
  <si>
    <t>893784902</t>
  </si>
  <si>
    <t>D363 .W5</t>
  </si>
  <si>
    <t>0                      D  0363000W  5</t>
  </si>
  <si>
    <t>European diplomatic history; documents and interpretations, 1815-1914. Edited, with original translations, chapter introductions, and scholarly notes, by Herman N. Weill.</t>
  </si>
  <si>
    <t>Weill, Herman, compiler.</t>
  </si>
  <si>
    <t>New York, Exposition Press [1972]</t>
  </si>
  <si>
    <t>An Exposition-university book</t>
  </si>
  <si>
    <t>1997-04-06</t>
  </si>
  <si>
    <t>1591147:eng</t>
  </si>
  <si>
    <t>496812</t>
  </si>
  <si>
    <t>991002866359702656</t>
  </si>
  <si>
    <t>2271783490002656</t>
  </si>
  <si>
    <t>9780682473750</t>
  </si>
  <si>
    <t>32285002301454</t>
  </si>
  <si>
    <t>893604152</t>
  </si>
  <si>
    <t>D376.G7 M54</t>
  </si>
  <si>
    <t>0                      D  0376000G  7                  M  54</t>
  </si>
  <si>
    <t>Britain and the Eastern question, 1875-1878 / Richard Millman.</t>
  </si>
  <si>
    <t>Millman, Richard.</t>
  </si>
  <si>
    <t>Oxford : Clarendon Press ; New York : Oxford University Press, 1979.</t>
  </si>
  <si>
    <t>2005-12-06</t>
  </si>
  <si>
    <t>1990-04-06</t>
  </si>
  <si>
    <t>18882951:eng</t>
  </si>
  <si>
    <t>5675393</t>
  </si>
  <si>
    <t>991004856519702656</t>
  </si>
  <si>
    <t>2260712590002656</t>
  </si>
  <si>
    <t>9780198223795</t>
  </si>
  <si>
    <t>32285000111574</t>
  </si>
  <si>
    <t>893600318</t>
  </si>
  <si>
    <t>D376.R7 J6</t>
  </si>
  <si>
    <t>0                      D  0376000R  7                  J  6</t>
  </si>
  <si>
    <t>Tradition versus revolution : Russia and the Balkans in 1917 / Robert H. Johnston.</t>
  </si>
  <si>
    <t>Johnston, Robert H. (Robert Harold), 1937-</t>
  </si>
  <si>
    <t>Boulder, Colo. : East European Quarterly ; distributed by Columbia University Press, New York, 1977.</t>
  </si>
  <si>
    <t>East European monographs ; no. 28</t>
  </si>
  <si>
    <t>2003-10-08</t>
  </si>
  <si>
    <t>1992-07-09</t>
  </si>
  <si>
    <t>9650740:eng</t>
  </si>
  <si>
    <t>3370026</t>
  </si>
  <si>
    <t>991004417699702656</t>
  </si>
  <si>
    <t>2267484960002656</t>
  </si>
  <si>
    <t>9780914710219</t>
  </si>
  <si>
    <t>32285001187748</t>
  </si>
  <si>
    <t>893606007</t>
  </si>
  <si>
    <t>D377 .P4</t>
  </si>
  <si>
    <t>0                      D  0377000P  4</t>
  </si>
  <si>
    <t>The emergence of Russian Panslavism, 1856-1870.</t>
  </si>
  <si>
    <t>Petrovich, Michael Boro.</t>
  </si>
  <si>
    <t>New York, Columbia University Press, 1956.</t>
  </si>
  <si>
    <t>Studies of the Russian Institute</t>
  </si>
  <si>
    <t>2004-08-26</t>
  </si>
  <si>
    <t>1546828:eng</t>
  </si>
  <si>
    <t>398350</t>
  </si>
  <si>
    <t>991002680849702656</t>
  </si>
  <si>
    <t>2259758240002656</t>
  </si>
  <si>
    <t>32285002301579</t>
  </si>
  <si>
    <t>893251513</t>
  </si>
  <si>
    <t>D383 .D7</t>
  </si>
  <si>
    <t>0                      D  0383000D  7</t>
  </si>
  <si>
    <t>Europe between revolutions, 1815-1848. Translated by Robert Baldick.</t>
  </si>
  <si>
    <t>Droz, Jacques, 1909-1998.</t>
  </si>
  <si>
    <t>[1st U.S. ed.]</t>
  </si>
  <si>
    <t>History of Europe</t>
  </si>
  <si>
    <t>1999-09-14</t>
  </si>
  <si>
    <t>15656065:eng</t>
  </si>
  <si>
    <t>404928</t>
  </si>
  <si>
    <t>991002699319702656</t>
  </si>
  <si>
    <t>2260397390002656</t>
  </si>
  <si>
    <t>32285002301595</t>
  </si>
  <si>
    <t>893511074</t>
  </si>
  <si>
    <t>D383 .E84 1979</t>
  </si>
  <si>
    <t>0                      D  0383000E  84          1979</t>
  </si>
  <si>
    <t>Europe's balance of power, 1815-1848 / edited by Alan Sked.</t>
  </si>
  <si>
    <t>New York : Barnes &amp; Noble, 1979.</t>
  </si>
  <si>
    <t>54290442:eng</t>
  </si>
  <si>
    <t>4957194</t>
  </si>
  <si>
    <t>991004754679702656</t>
  </si>
  <si>
    <t>2270609520002656</t>
  </si>
  <si>
    <t>9780064963237</t>
  </si>
  <si>
    <t>32285000271584</t>
  </si>
  <si>
    <t>893706797</t>
  </si>
  <si>
    <t>D383 .F5</t>
  </si>
  <si>
    <t>0                      D  0383000F  5</t>
  </si>
  <si>
    <t>1815; an end and a beginning.</t>
  </si>
  <si>
    <t>Fisher, John, 1909-1996.</t>
  </si>
  <si>
    <t>[1st. ed.]</t>
  </si>
  <si>
    <t>2004-09-08</t>
  </si>
  <si>
    <t>366198078:eng</t>
  </si>
  <si>
    <t>2491338</t>
  </si>
  <si>
    <t>991004137629702656</t>
  </si>
  <si>
    <t>2256018210002656</t>
  </si>
  <si>
    <t>32285002301603</t>
  </si>
  <si>
    <t>893259363</t>
  </si>
  <si>
    <t>D383 .J64 1991</t>
  </si>
  <si>
    <t>0                      D  0383000J  64          1991</t>
  </si>
  <si>
    <t>The birth of the modern : world society, 1815-1830 / Paul Johnson.</t>
  </si>
  <si>
    <t>Johnson, Paul, 1928-</t>
  </si>
  <si>
    <t>New York, NY : HarperCollins Publishers, c1991.</t>
  </si>
  <si>
    <t>2000-04-26</t>
  </si>
  <si>
    <t>1991-08-06</t>
  </si>
  <si>
    <t>600124:eng</t>
  </si>
  <si>
    <t>24011371</t>
  </si>
  <si>
    <t>991001902009702656</t>
  </si>
  <si>
    <t>2262701760002656</t>
  </si>
  <si>
    <t>9780060165741</t>
  </si>
  <si>
    <t>32285000664309</t>
  </si>
  <si>
    <t>893408448</t>
  </si>
  <si>
    <t>D383 .M3</t>
  </si>
  <si>
    <t>0                      D  0383000M  3</t>
  </si>
  <si>
    <t>The age of Metternich, 1814-1848, by Arthur May.</t>
  </si>
  <si>
    <t>May, Arthur James, 1899-1968.</t>
  </si>
  <si>
    <t>New York, H. Holt and company [c1933]</t>
  </si>
  <si>
    <t>The Berkshire studies in European history</t>
  </si>
  <si>
    <t>2000-04-03</t>
  </si>
  <si>
    <t>1528819:eng</t>
  </si>
  <si>
    <t>361600</t>
  </si>
  <si>
    <t>991002488099702656</t>
  </si>
  <si>
    <t>2263186750002656</t>
  </si>
  <si>
    <t>32285002301629</t>
  </si>
  <si>
    <t>893879995</t>
  </si>
  <si>
    <t>D383 .S33 1967</t>
  </si>
  <si>
    <t>0                      D  0383000S  33          1967</t>
  </si>
  <si>
    <t>The aftermath of the Napoleonic wars : the concert of Europe, an experiment / by H. G. Schenk.</t>
  </si>
  <si>
    <t>Schenk, H. G. (Hans Georg)</t>
  </si>
  <si>
    <t>New York : H. Fertig, 1967.</t>
  </si>
  <si>
    <t>1992-11-21</t>
  </si>
  <si>
    <t>1990-04-11</t>
  </si>
  <si>
    <t>376636378:eng</t>
  </si>
  <si>
    <t>397311</t>
  </si>
  <si>
    <t>991002677309702656</t>
  </si>
  <si>
    <t>2261647590002656</t>
  </si>
  <si>
    <t>32285000115427</t>
  </si>
  <si>
    <t>893716768</t>
  </si>
  <si>
    <t>D387 .E9 1972b</t>
  </si>
  <si>
    <t>0                      D  0387000E  9           1972b</t>
  </si>
  <si>
    <t>The revolutions of 1848-49.</t>
  </si>
  <si>
    <t>Eyck, Frank compiler.</t>
  </si>
  <si>
    <t>New York, Barnes &amp; Noble Books [1972]</t>
  </si>
  <si>
    <t>Evidence and commentary</t>
  </si>
  <si>
    <t>1999-08-10</t>
  </si>
  <si>
    <t>1608284:eng</t>
  </si>
  <si>
    <t>687555</t>
  </si>
  <si>
    <t>991003147199702656</t>
  </si>
  <si>
    <t>2269802530002656</t>
  </si>
  <si>
    <t>9780064920520</t>
  </si>
  <si>
    <t>32285002301694</t>
  </si>
  <si>
    <t>893239921</t>
  </si>
  <si>
    <t>D387 .F4213 1966</t>
  </si>
  <si>
    <t>0                      D  0387000F  4213        1966</t>
  </si>
  <si>
    <t>The opening of an era: 1848; an historical symposium. With an introd. by A. J. P. Taylor.</t>
  </si>
  <si>
    <t>Fejtö, François, 1909-2008.</t>
  </si>
  <si>
    <t>New York, H. Fertig, 1966.</t>
  </si>
  <si>
    <t>[1st American ed.]</t>
  </si>
  <si>
    <t>1997-03-20</t>
  </si>
  <si>
    <t>138670969:eng</t>
  </si>
  <si>
    <t>394937</t>
  </si>
  <si>
    <t>991002670559702656</t>
  </si>
  <si>
    <t>2260306960002656</t>
  </si>
  <si>
    <t>32285002301702</t>
  </si>
  <si>
    <t>893798852</t>
  </si>
  <si>
    <t>D387 .K7</t>
  </si>
  <si>
    <t>0                      D  0387000K  7</t>
  </si>
  <si>
    <t>1848, a turning point?</t>
  </si>
  <si>
    <t>Kranzberg, Melvin, editor.</t>
  </si>
  <si>
    <t>Boston, Heath [1959]</t>
  </si>
  <si>
    <t>1959</t>
  </si>
  <si>
    <t>2004-12-06</t>
  </si>
  <si>
    <t>118196886:eng</t>
  </si>
  <si>
    <t>306632</t>
  </si>
  <si>
    <t>991002265149702656</t>
  </si>
  <si>
    <t>2266082360002656</t>
  </si>
  <si>
    <t>32285002301710</t>
  </si>
  <si>
    <t>893408893</t>
  </si>
  <si>
    <t>D387 .M45</t>
  </si>
  <si>
    <t>0                      D  0387000M  45</t>
  </si>
  <si>
    <t>The revolutionary movement of 1848-9 in Italy, Austria-Hungary, and Germany.</t>
  </si>
  <si>
    <t>Maurice, C. Edmund (Charles Edmund), 1843-1927.</t>
  </si>
  <si>
    <t>New York, G.P. Putnam's sons, 1887.</t>
  </si>
  <si>
    <t>1887</t>
  </si>
  <si>
    <t>1997-07-11</t>
  </si>
  <si>
    <t>1131860:eng</t>
  </si>
  <si>
    <t>394908</t>
  </si>
  <si>
    <t>991002670359702656</t>
  </si>
  <si>
    <t>2260300280002656</t>
  </si>
  <si>
    <t>32285002301736</t>
  </si>
  <si>
    <t>893335566</t>
  </si>
  <si>
    <t>D387 .N3 1964</t>
  </si>
  <si>
    <t>0                      D  0387000N  3           1964</t>
  </si>
  <si>
    <t>1848 : the revolution of the intellectuals / by Lewis Namier.</t>
  </si>
  <si>
    <t>Namier, L. B. (Lewis Bernstein), 1888-1960.</t>
  </si>
  <si>
    <t>Garden City, N.Y. : Anchor Books, [1964]</t>
  </si>
  <si>
    <t>Anchor Books ed.</t>
  </si>
  <si>
    <t>2003-02-13</t>
  </si>
  <si>
    <t>144760060:eng</t>
  </si>
  <si>
    <t>5796833</t>
  </si>
  <si>
    <t>991003996539702656</t>
  </si>
  <si>
    <t>2271012760002656</t>
  </si>
  <si>
    <t>32285004699038</t>
  </si>
  <si>
    <t>893788164</t>
  </si>
  <si>
    <t>D387 .R6 1952</t>
  </si>
  <si>
    <t>0                      D  0387000R  6           1952</t>
  </si>
  <si>
    <t>Revolutions of 1848 : a social history / Priscilla Robertson.</t>
  </si>
  <si>
    <t>Robertson, Priscilla Smith.</t>
  </si>
  <si>
    <t>Princeton : Princeton University Press, 1952.</t>
  </si>
  <si>
    <t>2000-04-07</t>
  </si>
  <si>
    <t>441364:eng</t>
  </si>
  <si>
    <t>361520</t>
  </si>
  <si>
    <t>991002487739702656</t>
  </si>
  <si>
    <t>2263237860002656</t>
  </si>
  <si>
    <t>32285001187763</t>
  </si>
  <si>
    <t>893798656</t>
  </si>
  <si>
    <t>D387 .S7 1974</t>
  </si>
  <si>
    <t>0                      D  0387000S  7           1974</t>
  </si>
  <si>
    <t>1848: the revolutionary tide in Europe [by] Peter N. Stearns.</t>
  </si>
  <si>
    <t>Stearns, Peter N.</t>
  </si>
  <si>
    <t>New York, Norton [1974]</t>
  </si>
  <si>
    <t>Revolutions in the modern world</t>
  </si>
  <si>
    <t>1998-11-30</t>
  </si>
  <si>
    <t>346940175:eng</t>
  </si>
  <si>
    <t>714346</t>
  </si>
  <si>
    <t>991003189019702656</t>
  </si>
  <si>
    <t>2255958860002656</t>
  </si>
  <si>
    <t>9780393055108</t>
  </si>
  <si>
    <t>32285002301751</t>
  </si>
  <si>
    <t>893416134</t>
  </si>
  <si>
    <t>D387 .T3 1970</t>
  </si>
  <si>
    <t>0                      D  0387000T  3           1970</t>
  </si>
  <si>
    <t>The Italian problem in European diplomacy, 1847-1849, by A. J. P. Taylor.</t>
  </si>
  <si>
    <t>Taylor, A. J. P. (Alan John Percivale), 1906-1990.</t>
  </si>
  <si>
    <t>[Manchester, Eng.] Manchester University Press; New York, Barnes &amp; Noble [1970]</t>
  </si>
  <si>
    <t>58210070:eng</t>
  </si>
  <si>
    <t>126111</t>
  </si>
  <si>
    <t>991000718969702656</t>
  </si>
  <si>
    <t>2260427240002656</t>
  </si>
  <si>
    <t>9780719003998</t>
  </si>
  <si>
    <t>32285002301769</t>
  </si>
  <si>
    <t>893225241</t>
  </si>
  <si>
    <t>D387 .W5 1967</t>
  </si>
  <si>
    <t>0                      D  0387000W  5           1967</t>
  </si>
  <si>
    <t>Men in crisis; the revolutions of 1848.</t>
  </si>
  <si>
    <t>Whitridge, Arnold, 1891-1989.</t>
  </si>
  <si>
    <t>[Hamden, Conn.] Archon Books, 1967 [c1949]</t>
  </si>
  <si>
    <t>2000-04-25</t>
  </si>
  <si>
    <t>1414671:eng</t>
  </si>
  <si>
    <t>1129786</t>
  </si>
  <si>
    <t>991003559679702656</t>
  </si>
  <si>
    <t>2272343000002656</t>
  </si>
  <si>
    <t>32285002301777</t>
  </si>
  <si>
    <t>893505701</t>
  </si>
  <si>
    <t>D389 .D68 1993</t>
  </si>
  <si>
    <t>0                      D  0389000D  68          1993</t>
  </si>
  <si>
    <t>Great nations still enchained : the cartoonists' vision of empire, 1848-1914 / Roy Douglas.</t>
  </si>
  <si>
    <t>Douglas, Roy, 1924-</t>
  </si>
  <si>
    <t>London ; New York : Routledge, 1993.</t>
  </si>
  <si>
    <t>2002-08-07</t>
  </si>
  <si>
    <t>1994-02-08</t>
  </si>
  <si>
    <t>889660236:eng</t>
  </si>
  <si>
    <t>26974911</t>
  </si>
  <si>
    <t>991002102319702656</t>
  </si>
  <si>
    <t>2255661120002656</t>
  </si>
  <si>
    <t>9780415068567</t>
  </si>
  <si>
    <t>32285001840643</t>
  </si>
  <si>
    <t>893873105</t>
  </si>
  <si>
    <t>D395 .H7</t>
  </si>
  <si>
    <t>0                      D  0395000H  7</t>
  </si>
  <si>
    <t>The history of Europe from 1862 to 1914, from the accession of Bismarck to the outbreak of the great war [by] Lucius Hudson Holt ... and Alexander Wheeler Chilton ...</t>
  </si>
  <si>
    <t>Holt, Lucius Hudson, 1881-1953.</t>
  </si>
  <si>
    <t>New York, The Macmillan company, 1917.</t>
  </si>
  <si>
    <t>1917</t>
  </si>
  <si>
    <t>2004-03-04</t>
  </si>
  <si>
    <t>197806560:eng</t>
  </si>
  <si>
    <t>1115959</t>
  </si>
  <si>
    <t>991003548579702656</t>
  </si>
  <si>
    <t>2267014980002656</t>
  </si>
  <si>
    <t>32285002301876</t>
  </si>
  <si>
    <t>893623609</t>
  </si>
  <si>
    <t>D396 .B63 1983</t>
  </si>
  <si>
    <t>0                      D  0396000B  63          1983</t>
  </si>
  <si>
    <t>War and society in Europe, 1870-1970 / Brian Bond.</t>
  </si>
  <si>
    <t>Bond, Brian.</t>
  </si>
  <si>
    <t>New York : St. Martin's Press, 1983.</t>
  </si>
  <si>
    <t>1995-12-06</t>
  </si>
  <si>
    <t>3293509:eng</t>
  </si>
  <si>
    <t>10229626</t>
  </si>
  <si>
    <t>991000335649702656</t>
  </si>
  <si>
    <t>2264165940002656</t>
  </si>
  <si>
    <t>9780312855475</t>
  </si>
  <si>
    <t>32285001187771</t>
  </si>
  <si>
    <t>893444273</t>
  </si>
  <si>
    <t>D397 .R4</t>
  </si>
  <si>
    <t>0                      D  0397000R  4</t>
  </si>
  <si>
    <t>World politics at the end of the nineteenth century, as influenced by the oriental situation; by Paul S. Reinsch ...</t>
  </si>
  <si>
    <t>Reinsch, Paul S. (Paul Samuel), 1869-1923.</t>
  </si>
  <si>
    <t>New York, The MacMillan Company; London, Macmillan and Co., Ltd., 1900.</t>
  </si>
  <si>
    <t>The Citizen's Library of economics, politics, and sociology</t>
  </si>
  <si>
    <t>27867568:eng</t>
  </si>
  <si>
    <t>217732</t>
  </si>
  <si>
    <t>991001289769702656</t>
  </si>
  <si>
    <t>2258828110002656</t>
  </si>
  <si>
    <t>32285002302056</t>
  </si>
  <si>
    <t>893778700</t>
  </si>
  <si>
    <t>D397 .S26</t>
  </si>
  <si>
    <t>0                      D  0397000S  26</t>
  </si>
  <si>
    <t>Triple alliance and triple entente, by Bernadotte E. Schmitt ...</t>
  </si>
  <si>
    <t>Schmitt, Bernadotte Everly, 1886-1969.</t>
  </si>
  <si>
    <t>New York, H. Holt and Company [c1934]</t>
  </si>
  <si>
    <t>1934</t>
  </si>
  <si>
    <t>2003-01-30</t>
  </si>
  <si>
    <t>1296263:eng</t>
  </si>
  <si>
    <t>889381</t>
  </si>
  <si>
    <t>991003355979702656</t>
  </si>
  <si>
    <t>2255412550002656</t>
  </si>
  <si>
    <t>32285002302064</t>
  </si>
  <si>
    <t>893711306</t>
  </si>
  <si>
    <t>D410.5 1917 .R6 1965</t>
  </si>
  <si>
    <t>0                      D  0410500               1917   R  6           1965</t>
  </si>
  <si>
    <t>Weltwende 1917 : Monarchie, Weltrevolution, Demokratie / Für die Ranke-Gesellschaft, Vereinigung für Geschichte im öffentlichen Leben, hrsg. von Hellmuth Rössler.</t>
  </si>
  <si>
    <t>Rössler, Hellmuth, editor.</t>
  </si>
  <si>
    <t>Göttingen : Musterschmidt-Verlag, [1965]</t>
  </si>
  <si>
    <t>292699663:ger</t>
  </si>
  <si>
    <t>1122736</t>
  </si>
  <si>
    <t>991003601059702656</t>
  </si>
  <si>
    <t>2267792510002656</t>
  </si>
  <si>
    <t>32285004376751</t>
  </si>
  <si>
    <t>893774924</t>
  </si>
  <si>
    <t>D410.51914 .C3 1975</t>
  </si>
  <si>
    <t>0                      D  0410000                                                           .51914 .C3 1975</t>
  </si>
  <si>
    <t>1914 / by James Cameron.</t>
  </si>
  <si>
    <t>Cameron, James, 1911-1985.</t>
  </si>
  <si>
    <t>Westport, Conn. : Greenwood Press, 1975, c1959.</t>
  </si>
  <si>
    <t>1999-01-28</t>
  </si>
  <si>
    <t>148078177:eng</t>
  </si>
  <si>
    <t>1380127</t>
  </si>
  <si>
    <t>991003729689702656</t>
  </si>
  <si>
    <t>2260386460002656</t>
  </si>
  <si>
    <t>9780837178615</t>
  </si>
  <si>
    <t>32285002325099</t>
  </si>
  <si>
    <t>893900285</t>
  </si>
  <si>
    <t>D411 .B36</t>
  </si>
  <si>
    <t>0                      D  0411000B  36</t>
  </si>
  <si>
    <t>Breakdown and rebirth, 1914 to the present. Edited by Thomas G. Barnes [and] Gerald D. Feldman.</t>
  </si>
  <si>
    <t>Their A documentary history of modern Europe [v. 4]</t>
  </si>
  <si>
    <t>1996-12-04</t>
  </si>
  <si>
    <t>483534:eng</t>
  </si>
  <si>
    <t>286666</t>
  </si>
  <si>
    <t>991002207779702656</t>
  </si>
  <si>
    <t>2260807030002656</t>
  </si>
  <si>
    <t>32285002325115</t>
  </si>
  <si>
    <t>893504128</t>
  </si>
  <si>
    <t>D412.6 .C5 1937a</t>
  </si>
  <si>
    <t>0                      D  0412600C  5           1937a</t>
  </si>
  <si>
    <t>Great contemporaries, by the Rt. Hon. Winston S. Churchill, C.H., M.P. With 21 portraits.</t>
  </si>
  <si>
    <t>Churchill, Winston, 1874-1965.</t>
  </si>
  <si>
    <t>New York, Putnam, 1937.</t>
  </si>
  <si>
    <t>1937</t>
  </si>
  <si>
    <t>1999-01-25</t>
  </si>
  <si>
    <t>20895844:eng</t>
  </si>
  <si>
    <t>1099463</t>
  </si>
  <si>
    <t>991003535259702656</t>
  </si>
  <si>
    <t>2267385250002656</t>
  </si>
  <si>
    <t>32285002325172</t>
  </si>
  <si>
    <t>893787434</t>
  </si>
  <si>
    <t>D413.D6 A3</t>
  </si>
  <si>
    <t>0                      D  0413000D  6                  A  3</t>
  </si>
  <si>
    <t>Ambassador Dodd's diary, 1933-1938; edited by William E. Dodd, jr., and Martha Dodd; with an introduction by Charles A. Beard.</t>
  </si>
  <si>
    <t>Dodd, William E. (William Edward), 1869-1940.</t>
  </si>
  <si>
    <t>New York, Harcourt, Brace and Company [c1941]</t>
  </si>
  <si>
    <t>2001-02-27</t>
  </si>
  <si>
    <t>194968728:eng</t>
  </si>
  <si>
    <t>395068</t>
  </si>
  <si>
    <t>991002670949702656</t>
  </si>
  <si>
    <t>2260481740002656</t>
  </si>
  <si>
    <t>32285002325263</t>
  </si>
  <si>
    <t>893597728</t>
  </si>
  <si>
    <t>D413.K37 A3</t>
  </si>
  <si>
    <t>0                      D  0413000K  37                 A  3</t>
  </si>
  <si>
    <t>Peace in their time; men who led us in and out of war, 1914-1945. Drawings by Derso &amp; Kelen.</t>
  </si>
  <si>
    <t>Kelen, Emery, 1896-1978.</t>
  </si>
  <si>
    <t>New York, Knopf, 1963.</t>
  </si>
  <si>
    <t>1997-09-05</t>
  </si>
  <si>
    <t>836661932:eng</t>
  </si>
  <si>
    <t>395594</t>
  </si>
  <si>
    <t>991002672029702656</t>
  </si>
  <si>
    <t>2260671220002656</t>
  </si>
  <si>
    <t>32285002325321</t>
  </si>
  <si>
    <t>893504677</t>
  </si>
  <si>
    <t>D413.M56 M66 1995</t>
  </si>
  <si>
    <t>0                      D  0413000M  56                 M  66          1995</t>
  </si>
  <si>
    <t>Monnet and the Americans : the father of a united Europe and his U.S. supporters / Clifford P. Hackett, editor.</t>
  </si>
  <si>
    <t>Washington, D.C. : Jean Monnet Council, c1995.</t>
  </si>
  <si>
    <t>2002-06-25</t>
  </si>
  <si>
    <t>2002-06-18</t>
  </si>
  <si>
    <t>889887115:eng</t>
  </si>
  <si>
    <t>31815279</t>
  </si>
  <si>
    <t>991003817679702656</t>
  </si>
  <si>
    <t>2264064320002656</t>
  </si>
  <si>
    <t>9780964254107</t>
  </si>
  <si>
    <t>32285004495114</t>
  </si>
  <si>
    <t>893423000</t>
  </si>
  <si>
    <t>D421 .B725 1988</t>
  </si>
  <si>
    <t>0                      D  0421000B  725         1988</t>
  </si>
  <si>
    <t>The world in the twentieth century : the age of global war and revolution / Daniel R. Brower.</t>
  </si>
  <si>
    <t>Brower, Daniel R.</t>
  </si>
  <si>
    <t>Englewood Cliffs, N.J. : Prentice-Hall, 1988.</t>
  </si>
  <si>
    <t>2003-09-27</t>
  </si>
  <si>
    <t>3372240963:eng</t>
  </si>
  <si>
    <t>16085074</t>
  </si>
  <si>
    <t>991001079939702656</t>
  </si>
  <si>
    <t>2259492570002656</t>
  </si>
  <si>
    <t>9780139655265</t>
  </si>
  <si>
    <t>32285001187862</t>
  </si>
  <si>
    <t>893684008</t>
  </si>
  <si>
    <t>D421 .B74 1964</t>
  </si>
  <si>
    <t>0                      D  0421000B  74          1964</t>
  </si>
  <si>
    <t>The Second World War and after / by Geoffrey Bruun and Dwight E. Lee.</t>
  </si>
  <si>
    <t>Bruun, Geoffrey, 1898-1988.</t>
  </si>
  <si>
    <t>Boston : Houghton Mifflin, [1964]</t>
  </si>
  <si>
    <t>422875410:eng</t>
  </si>
  <si>
    <t>782012</t>
  </si>
  <si>
    <t>991003587909702656</t>
  </si>
  <si>
    <t>2263464320002656</t>
  </si>
  <si>
    <t>32285004334644</t>
  </si>
  <si>
    <t>893252516</t>
  </si>
  <si>
    <t>D421 .F613</t>
  </si>
  <si>
    <t>0                      D  0421000F  613</t>
  </si>
  <si>
    <t>History of the Cold War.</t>
  </si>
  <si>
    <t>Fontaine, André, 1921-</t>
  </si>
  <si>
    <t>New York, Pantheon Books [1968-69]</t>
  </si>
  <si>
    <t>1998-01-13</t>
  </si>
  <si>
    <t>285395537:eng</t>
  </si>
  <si>
    <t>620860</t>
  </si>
  <si>
    <t>991003064169702656</t>
  </si>
  <si>
    <t>2255435110002656</t>
  </si>
  <si>
    <t>32285002325446</t>
  </si>
  <si>
    <t>893893342</t>
  </si>
  <si>
    <t>32285002325453</t>
  </si>
  <si>
    <t>893880791</t>
  </si>
  <si>
    <t>D421 .G55 1997, v...</t>
  </si>
  <si>
    <t>0                      D  0421000G  55          1997                                        v...</t>
  </si>
  <si>
    <t>A history of the twentieth century / Martin Gilbert.</t>
  </si>
  <si>
    <t>Gilbert, Martin, 1936-2015.</t>
  </si>
  <si>
    <t>New York : W. Morrow, c1997-</t>
  </si>
  <si>
    <t>1st U.S. ed.</t>
  </si>
  <si>
    <t>1998-01-09</t>
  </si>
  <si>
    <t>1997-12-05</t>
  </si>
  <si>
    <t>4241714210:eng</t>
  </si>
  <si>
    <t>36719972</t>
  </si>
  <si>
    <t>991002795719702656</t>
  </si>
  <si>
    <t>2270815020002656</t>
  </si>
  <si>
    <t>9780688100643</t>
  </si>
  <si>
    <t>32285003281739</t>
  </si>
  <si>
    <t>893323382</t>
  </si>
  <si>
    <t>D421 .J64 1983</t>
  </si>
  <si>
    <t>0                      D  0421000J  64          1983</t>
  </si>
  <si>
    <t>Modern times : the world from the twenties to the eighties / Paul Johnson.</t>
  </si>
  <si>
    <t>New York : Harper &amp; Row, c1983.</t>
  </si>
  <si>
    <t>3749691508:eng</t>
  </si>
  <si>
    <t>9599565</t>
  </si>
  <si>
    <t>991000223999702656</t>
  </si>
  <si>
    <t>2258478250002656</t>
  </si>
  <si>
    <t>9780060151591</t>
  </si>
  <si>
    <t>32285001187870</t>
  </si>
  <si>
    <t>893345496</t>
  </si>
  <si>
    <t>D421 .L85 1993</t>
  </si>
  <si>
    <t>0                      D  0421000L  85          1993</t>
  </si>
  <si>
    <t>The end of the twentieth century and the end of the modern age / John Lukacs.</t>
  </si>
  <si>
    <t>Lukacs, John, 1924-2019.</t>
  </si>
  <si>
    <t>New York : Ticknor &amp; Fields, 1993.</t>
  </si>
  <si>
    <t>1995-11-19</t>
  </si>
  <si>
    <t>1993-09-14</t>
  </si>
  <si>
    <t>29513916:eng</t>
  </si>
  <si>
    <t>26674032</t>
  </si>
  <si>
    <t>991002080399702656</t>
  </si>
  <si>
    <t>2267057690002656</t>
  </si>
  <si>
    <t>9780395584729</t>
  </si>
  <si>
    <t>32285001766566</t>
  </si>
  <si>
    <t>893497698</t>
  </si>
  <si>
    <t>D421 .R413 1969</t>
  </si>
  <si>
    <t>0                      D  0421000R  413         1969</t>
  </si>
  <si>
    <t>World War II and its origins; international relations, 1929-1945. Translated by Rémy Inglis Hall.</t>
  </si>
  <si>
    <t>Renouvin, Pierre, 1893-1974.</t>
  </si>
  <si>
    <t>New York, Harper &amp; Row [1968, c1969]</t>
  </si>
  <si>
    <t>2005-04-04</t>
  </si>
  <si>
    <t>1938805746:eng</t>
  </si>
  <si>
    <t>38505</t>
  </si>
  <si>
    <t>991000092649702656</t>
  </si>
  <si>
    <t>2265944340002656</t>
  </si>
  <si>
    <t>32285002325495</t>
  </si>
  <si>
    <t>893224723</t>
  </si>
  <si>
    <t>D422 .C572 1998</t>
  </si>
  <si>
    <t>0                      D  0422000C  572         1998</t>
  </si>
  <si>
    <t>Historia visual del siglo XX [monograph] / coordinación y supervisión, Santiago Pérez.</t>
  </si>
  <si>
    <t>Madrid : Ediciones El País, 1998.</t>
  </si>
  <si>
    <t>spa</t>
  </si>
  <si>
    <t xml:space="preserve">sp </t>
  </si>
  <si>
    <t>2005-07-28</t>
  </si>
  <si>
    <t>1999-03-01</t>
  </si>
  <si>
    <t>500074173:spa</t>
  </si>
  <si>
    <t>40697794</t>
  </si>
  <si>
    <t>991003003589702656</t>
  </si>
  <si>
    <t>2265096240002656</t>
  </si>
  <si>
    <t>32285003527933</t>
  </si>
  <si>
    <t>893786862</t>
  </si>
  <si>
    <t>D422 .M8 1997</t>
  </si>
  <si>
    <t>0                      D  0422000M  8           1997</t>
  </si>
  <si>
    <t>In search of light : the broadcasts of Edward R. Murrow, 1938-1961 / edited with an introduction by Edward Bliss, Jr.</t>
  </si>
  <si>
    <t>Murrow, Edward R.</t>
  </si>
  <si>
    <t>New York : Da Capo Press, 1997.</t>
  </si>
  <si>
    <t>1st Da Capo Press ed.</t>
  </si>
  <si>
    <t>2003-04-01</t>
  </si>
  <si>
    <t>1997-05-06</t>
  </si>
  <si>
    <t>1494066:eng</t>
  </si>
  <si>
    <t>35666573</t>
  </si>
  <si>
    <t>991002720409702656</t>
  </si>
  <si>
    <t>2261268740002656</t>
  </si>
  <si>
    <t>9780306807626</t>
  </si>
  <si>
    <t>32285002544681</t>
  </si>
  <si>
    <t>893530370</t>
  </si>
  <si>
    <t>D424 .R83 1986</t>
  </si>
  <si>
    <t>0                      D  0424000R  83          1986</t>
  </si>
  <si>
    <t>Twentieth century Europe / Alexander Rudhart.</t>
  </si>
  <si>
    <t>Rudhart, Alexander.</t>
  </si>
  <si>
    <t>Englewood Cliffs, N.J. : Prentice-Hall, c1986.</t>
  </si>
  <si>
    <t>1993-08-19</t>
  </si>
  <si>
    <t>1926395:eng</t>
  </si>
  <si>
    <t>11812659</t>
  </si>
  <si>
    <t>991000595729702656</t>
  </si>
  <si>
    <t>2259969450002656</t>
  </si>
  <si>
    <t>9780139346620</t>
  </si>
  <si>
    <t>32285001757391</t>
  </si>
  <si>
    <t>893261534</t>
  </si>
  <si>
    <t>D424 .S77 1980</t>
  </si>
  <si>
    <t>0                      D  0424000S  77          1980</t>
  </si>
  <si>
    <t>Europe in the twentieth century / Roland N. Stromberg.</t>
  </si>
  <si>
    <t>Stromberg, Roland N., 1916-2004.</t>
  </si>
  <si>
    <t>Englewood Cliffs, N.J. : Prentice-Hall, c1980.</t>
  </si>
  <si>
    <t>1993-08-20</t>
  </si>
  <si>
    <t>11611664:eng</t>
  </si>
  <si>
    <t>4832599</t>
  </si>
  <si>
    <t>991004729369702656</t>
  </si>
  <si>
    <t>2268645990002656</t>
  </si>
  <si>
    <t>9780132919067</t>
  </si>
  <si>
    <t>32285001757532</t>
  </si>
  <si>
    <t>893436674</t>
  </si>
  <si>
    <t>D424 .V564 2001</t>
  </si>
  <si>
    <t>0                      D  0424000V  564         2001</t>
  </si>
  <si>
    <t>A history in fragments : Europe in the twentieth century / Richard Vinen ; [maps by Neil Hyslop]</t>
  </si>
  <si>
    <t>Vinen, Richard.</t>
  </si>
  <si>
    <t>Cambridge, MA : Da Capo Press, 2001, c2000.</t>
  </si>
  <si>
    <t>2003-05-22</t>
  </si>
  <si>
    <t>9566304140:eng</t>
  </si>
  <si>
    <t>47999632</t>
  </si>
  <si>
    <t>991004051059702656</t>
  </si>
  <si>
    <t>2270184350002656</t>
  </si>
  <si>
    <t>9780306810633</t>
  </si>
  <si>
    <t>32285004748918</t>
  </si>
  <si>
    <t>893234996</t>
  </si>
  <si>
    <t>D424 .W37 1990</t>
  </si>
  <si>
    <t>0                      D  0424000W  37          1990</t>
  </si>
  <si>
    <t>War and change in twentieth-century Europe / Arthur Marwick ... [et al.].</t>
  </si>
  <si>
    <t>Buckingham ; Bristol, PA, USA : Open University Press in association with the Open University, 1990.</t>
  </si>
  <si>
    <t>War, peace, and social change ; bk. 5</t>
  </si>
  <si>
    <t>22973397:eng</t>
  </si>
  <si>
    <t>21559572</t>
  </si>
  <si>
    <t>991001704459702656</t>
  </si>
  <si>
    <t>2272428380002656</t>
  </si>
  <si>
    <t>9780335093120</t>
  </si>
  <si>
    <t>32285000664333</t>
  </si>
  <si>
    <t>893690832</t>
  </si>
  <si>
    <t>D431 .C68 1997</t>
  </si>
  <si>
    <t>0                      D  0431000C  68          1997</t>
  </si>
  <si>
    <t>The counter-insurgent state : guerrilla warfare and state building in the twentieth century / edited by Paul B. Rich and Richard Stubbs.</t>
  </si>
  <si>
    <t>2009-09-02</t>
  </si>
  <si>
    <t>2000-03-01</t>
  </si>
  <si>
    <t>839810538:eng</t>
  </si>
  <si>
    <t>35212794</t>
  </si>
  <si>
    <t>991002697099702656</t>
  </si>
  <si>
    <t>2256871870002656</t>
  </si>
  <si>
    <t>9780312165277</t>
  </si>
  <si>
    <t>32285003666202</t>
  </si>
  <si>
    <t>893245522</t>
  </si>
  <si>
    <t>D431 .H68 1991</t>
  </si>
  <si>
    <t>0                      D  0431000H  68          1991</t>
  </si>
  <si>
    <t>The lessons of history / Michael Howard.</t>
  </si>
  <si>
    <t>Howard, Michael, 1922-2019.</t>
  </si>
  <si>
    <t>New Haven [Conn.] : Yale University Press, c1991.</t>
  </si>
  <si>
    <t>2004-03-15</t>
  </si>
  <si>
    <t>341684610:eng</t>
  </si>
  <si>
    <t>21591936</t>
  </si>
  <si>
    <t>991001708059702656</t>
  </si>
  <si>
    <t>2263313210002656</t>
  </si>
  <si>
    <t>9780300047288</t>
  </si>
  <si>
    <t>32285000726108</t>
  </si>
  <si>
    <t>893226050</t>
  </si>
  <si>
    <t>D437 .G79 1972</t>
  </si>
  <si>
    <t>0                      D  0437000G  79          1972</t>
  </si>
  <si>
    <t>Five down and glory; a history of the American air ace. Edited by Mark P. Friedlander, Jr.</t>
  </si>
  <si>
    <t>Gurney, Gene.</t>
  </si>
  <si>
    <t>[New York] Arno Press [1972, c1958]</t>
  </si>
  <si>
    <t>Literature and history of aviation</t>
  </si>
  <si>
    <t>1999-02-08</t>
  </si>
  <si>
    <t>192736751:eng</t>
  </si>
  <si>
    <t>448049</t>
  </si>
  <si>
    <t>991002802259702656</t>
  </si>
  <si>
    <t>2266492600002656</t>
  </si>
  <si>
    <t>9780405037641</t>
  </si>
  <si>
    <t>32285002325701</t>
  </si>
  <si>
    <t>893227294</t>
  </si>
  <si>
    <t>D443 .B67 1962</t>
  </si>
  <si>
    <t>0                      D  0443000B  67          1962</t>
  </si>
  <si>
    <t>The tragedy of Central Europe : the Nazi and Soviet conquest of Central Europe / Stephen Borsody.</t>
  </si>
  <si>
    <t>Borsody, Stephen, 1911-</t>
  </si>
  <si>
    <t>New York : Collier Books, [1962]</t>
  </si>
  <si>
    <t>1st Collier Books ed.</t>
  </si>
  <si>
    <t>2001-07-25</t>
  </si>
  <si>
    <t>10201218644:eng</t>
  </si>
  <si>
    <t>879542</t>
  </si>
  <si>
    <t>991003591789702656</t>
  </si>
  <si>
    <t>2269997200002656</t>
  </si>
  <si>
    <t>32285004334982</t>
  </si>
  <si>
    <t>893805960</t>
  </si>
  <si>
    <t>D443 .C34 1999</t>
  </si>
  <si>
    <t>0                      D  0443000C  34          1999</t>
  </si>
  <si>
    <t>A Century's journey : how the great powers shape the world / edited by Robert A. Pastor.</t>
  </si>
  <si>
    <t>New York : Basic Books, 1999.</t>
  </si>
  <si>
    <t>2002-02-18</t>
  </si>
  <si>
    <t>1999-09-28</t>
  </si>
  <si>
    <t>837052588:eng</t>
  </si>
  <si>
    <t>42027425</t>
  </si>
  <si>
    <t>991003040119702656</t>
  </si>
  <si>
    <t>2266444770002656</t>
  </si>
  <si>
    <t>9780465054756</t>
  </si>
  <si>
    <t>32285003591004</t>
  </si>
  <si>
    <t>893592126</t>
  </si>
  <si>
    <t>D443 .C73 1990</t>
  </si>
  <si>
    <t>0                      D  0443000C  73          1990</t>
  </si>
  <si>
    <t>Force and statecraft : diplomatic problems of our time / Gordon A. Craig, Alexander L. George.</t>
  </si>
  <si>
    <t>New York : Oxford University Press, 1990.</t>
  </si>
  <si>
    <t>2002-04-24</t>
  </si>
  <si>
    <t>1990-06-29</t>
  </si>
  <si>
    <t>836702987:eng</t>
  </si>
  <si>
    <t>19776030</t>
  </si>
  <si>
    <t>991001497209702656</t>
  </si>
  <si>
    <t>2272235990002656</t>
  </si>
  <si>
    <t>9780195057300</t>
  </si>
  <si>
    <t>32285000206622</t>
  </si>
  <si>
    <t>893328170</t>
  </si>
  <si>
    <t>D443 .G473 2002</t>
  </si>
  <si>
    <t>0                      D  0443000G  473         2002</t>
  </si>
  <si>
    <t>The end of the European era : 1890 to the present / Felix Gilbert, David Clay Large.</t>
  </si>
  <si>
    <t>New York : W.W. Norton, c2002.</t>
  </si>
  <si>
    <t>5th ed.</t>
  </si>
  <si>
    <t>2003-11-01</t>
  </si>
  <si>
    <t>119320924:eng</t>
  </si>
  <si>
    <t>47755980</t>
  </si>
  <si>
    <t>991004148909702656</t>
  </si>
  <si>
    <t>2261734720002656</t>
  </si>
  <si>
    <t>9780393976427</t>
  </si>
  <si>
    <t>32285004791579</t>
  </si>
  <si>
    <t>893429718</t>
  </si>
  <si>
    <t>D443 .K38 2000</t>
  </si>
  <si>
    <t>0                      D  0443000K  38          2000</t>
  </si>
  <si>
    <t>Europe in the world : the persistence of power politics / Maurice Keens-Soper.</t>
  </si>
  <si>
    <t>Keens-Soper, H. M. A.</t>
  </si>
  <si>
    <t>New York : St. Martin's Press, 2000, c1999.</t>
  </si>
  <si>
    <t>2001-10-17</t>
  </si>
  <si>
    <t>6237108:eng</t>
  </si>
  <si>
    <t>39539124</t>
  </si>
  <si>
    <t>991003655059702656</t>
  </si>
  <si>
    <t>2260026820002656</t>
  </si>
  <si>
    <t>9780312218515</t>
  </si>
  <si>
    <t>32285004397740</t>
  </si>
  <si>
    <t>893525060</t>
  </si>
  <si>
    <t>D443 .M33 2002</t>
  </si>
  <si>
    <t>0                      D  0443000M  33          2002</t>
  </si>
  <si>
    <t>The ebbing of European ascendancy : an international history of the world, 1914-1945 / Sally Marks.</t>
  </si>
  <si>
    <t>Marks, Sally.</t>
  </si>
  <si>
    <t>London : Arnold ; New York : Co-published in the United States of America by Oxford University Press, 2002.</t>
  </si>
  <si>
    <t>2004-01-19</t>
  </si>
  <si>
    <t>14435049:eng</t>
  </si>
  <si>
    <t>60172623</t>
  </si>
  <si>
    <t>991004189269702656</t>
  </si>
  <si>
    <t>2268239730002656</t>
  </si>
  <si>
    <t>9780340555668</t>
  </si>
  <si>
    <t>32285004634894</t>
  </si>
  <si>
    <t>893781950</t>
  </si>
  <si>
    <t>D443 .S65</t>
  </si>
  <si>
    <t>0                      D  0443000S  65</t>
  </si>
  <si>
    <t>The hour of decision, part one: Germany and world-historical evolution. Translated from the German for the first time by Charles Francis Atkinson.</t>
  </si>
  <si>
    <t>Spengler, Oswald, 1880-1936.</t>
  </si>
  <si>
    <t>New York, A. A. Knopf, 1934.</t>
  </si>
  <si>
    <t>2005-09-27</t>
  </si>
  <si>
    <t>1996-09-06</t>
  </si>
  <si>
    <t>10359701159:eng</t>
  </si>
  <si>
    <t>5418742</t>
  </si>
  <si>
    <t>991004833069702656</t>
  </si>
  <si>
    <t>2256236510002656</t>
  </si>
  <si>
    <t>32285002326279</t>
  </si>
  <si>
    <t>893612824</t>
  </si>
  <si>
    <t>D445 .B77 1995</t>
  </si>
  <si>
    <t>0                      D  0445000B  77          1995</t>
  </si>
  <si>
    <t>Twentieth-century dictatorships : the ideological one-party states / Paul Brooker.</t>
  </si>
  <si>
    <t>Brooker, Paul.</t>
  </si>
  <si>
    <t>Washington Square, N.Y. : New York University Press, 1995.</t>
  </si>
  <si>
    <t>1995-03-10</t>
  </si>
  <si>
    <t>32833175:eng</t>
  </si>
  <si>
    <t>30547810</t>
  </si>
  <si>
    <t>991002346929702656</t>
  </si>
  <si>
    <t>2264085680002656</t>
  </si>
  <si>
    <t>9780814712337</t>
  </si>
  <si>
    <t>32285002002318</t>
  </si>
  <si>
    <t>893616010</t>
  </si>
  <si>
    <t>D445 .C736 1986</t>
  </si>
  <si>
    <t>0                      D  0445000C  736         1986</t>
  </si>
  <si>
    <t>Cooperation under anarchy / edited by Kenneth A. Oye.</t>
  </si>
  <si>
    <t>Princeton, N.J. : Princeton University Press, c1986.</t>
  </si>
  <si>
    <t>2001-09-18</t>
  </si>
  <si>
    <t>891537:eng</t>
  </si>
  <si>
    <t>12973337</t>
  </si>
  <si>
    <t>991003618349702656</t>
  </si>
  <si>
    <t>2263199930002656</t>
  </si>
  <si>
    <t>9780691022406</t>
  </si>
  <si>
    <t>32285004392014</t>
  </si>
  <si>
    <t>893810076</t>
  </si>
  <si>
    <t>D445 .G54 1995</t>
  </si>
  <si>
    <t>0                      D  0445000G  54          1995</t>
  </si>
  <si>
    <t>Totalitarianism : the inner history of the Cold War / Abbott Gleason.</t>
  </si>
  <si>
    <t>Gleason, Abbott.</t>
  </si>
  <si>
    <t>1996-04-21</t>
  </si>
  <si>
    <t>1996-02-13</t>
  </si>
  <si>
    <t>836789915:eng</t>
  </si>
  <si>
    <t>30036219</t>
  </si>
  <si>
    <t>991002315129702656</t>
  </si>
  <si>
    <t>2270924790002656</t>
  </si>
  <si>
    <t>9780195050172</t>
  </si>
  <si>
    <t>32285002129822</t>
  </si>
  <si>
    <t>893597294</t>
  </si>
  <si>
    <t>D445 .L25 1915</t>
  </si>
  <si>
    <t>0                      D  0445000L  25          1915</t>
  </si>
  <si>
    <t>The world's highway : some notes on America's relation to sea power and non-military sanctions for the law of nations / by Norman Angell.</t>
  </si>
  <si>
    <t>Angell, Norman, 1874-1967.</t>
  </si>
  <si>
    <t>New York : Doran, [c1915]</t>
  </si>
  <si>
    <t>1915</t>
  </si>
  <si>
    <t>1989-11-27</t>
  </si>
  <si>
    <t>475563146:eng</t>
  </si>
  <si>
    <t>1297794</t>
  </si>
  <si>
    <t>991003676449702656</t>
  </si>
  <si>
    <t>2262420710002656</t>
  </si>
  <si>
    <t>32285000014638</t>
  </si>
  <si>
    <t>893258707</t>
  </si>
  <si>
    <t>D445 .N58 1982</t>
  </si>
  <si>
    <t>0                      D  0445000N  58          1982</t>
  </si>
  <si>
    <t>Leaders / Richard Nixon.</t>
  </si>
  <si>
    <t>Nixon, Richard M. (Richard Milhous), 1913-1994.</t>
  </si>
  <si>
    <t>New York, N.Y. : Warner Books, c1982.</t>
  </si>
  <si>
    <t>2003-07-03</t>
  </si>
  <si>
    <t>4928661848:eng</t>
  </si>
  <si>
    <t>8388377</t>
  </si>
  <si>
    <t>991005237499702656</t>
  </si>
  <si>
    <t>2261562760002656</t>
  </si>
  <si>
    <t>9780446512497</t>
  </si>
  <si>
    <t>32285001187961</t>
  </si>
  <si>
    <t>893883566</t>
  </si>
  <si>
    <t>D445 .P38 1997</t>
  </si>
  <si>
    <t>0                      D  0445000P  38          1997</t>
  </si>
  <si>
    <t>Hitler, Stalin, and Mussolini : totalitarianism in the twentieth century / Bruce F. Pauley.</t>
  </si>
  <si>
    <t>Pauley, Bruce F.</t>
  </si>
  <si>
    <t>Wheeling, Ill. : Harlan Davidson, c1997.</t>
  </si>
  <si>
    <t>European history series</t>
  </si>
  <si>
    <t>13803914:eng</t>
  </si>
  <si>
    <t>35808395</t>
  </si>
  <si>
    <t>991003994929702656</t>
  </si>
  <si>
    <t>2269829190002656</t>
  </si>
  <si>
    <t>9780882959351</t>
  </si>
  <si>
    <t>32285004698576</t>
  </si>
  <si>
    <t>893605501</t>
  </si>
  <si>
    <t>D445 .S49 1998</t>
  </si>
  <si>
    <t>0                      D  0445000S  49          1998</t>
  </si>
  <si>
    <t>Separatism : democracy and disintegration / edited by Metta Spencer.</t>
  </si>
  <si>
    <t>Lanham, Md. : Rowman &amp; Littlefield Publishers, c1998.</t>
  </si>
  <si>
    <t>2005-10-26</t>
  </si>
  <si>
    <t>1999-01-06</t>
  </si>
  <si>
    <t>836925238:eng</t>
  </si>
  <si>
    <t>39085313</t>
  </si>
  <si>
    <t>991002938089702656</t>
  </si>
  <si>
    <t>2256964490002656</t>
  </si>
  <si>
    <t>9780847685844</t>
  </si>
  <si>
    <t>32285003509758</t>
  </si>
  <si>
    <t>893535263</t>
  </si>
  <si>
    <t>D455 .B328 1982</t>
  </si>
  <si>
    <t>0                      D  0455000B  328         1982</t>
  </si>
  <si>
    <t>From Agadir to Armageddon : anatomy of a crisis / Geoffrey Barraclough.</t>
  </si>
  <si>
    <t>Barraclough, Geoffrey, 1908-1984.</t>
  </si>
  <si>
    <t>New York : Holmes and Meier, 1982.</t>
  </si>
  <si>
    <t>1998-04-24</t>
  </si>
  <si>
    <t>838249956:eng</t>
  </si>
  <si>
    <t>8762573</t>
  </si>
  <si>
    <t>991000064159702656</t>
  </si>
  <si>
    <t>2266701620002656</t>
  </si>
  <si>
    <t>9780841908246</t>
  </si>
  <si>
    <t>32285001188001</t>
  </si>
  <si>
    <t>893771344</t>
  </si>
  <si>
    <t>D5 .B4 v.166</t>
  </si>
  <si>
    <t>0                      D  0005000B  4                                                       v.166</t>
  </si>
  <si>
    <t>Verus Israel : étude sur les relations entre chrétiens et juifs dans l'empire romain (135-425) / Marcel Simon.</t>
  </si>
  <si>
    <t>V.166</t>
  </si>
  <si>
    <t>Simon, Marcel, 1907-1986.</t>
  </si>
  <si>
    <t>Paris : E. de Boccard, 1964.</t>
  </si>
  <si>
    <t xml:space="preserve">fr </t>
  </si>
  <si>
    <t>2001-08-31</t>
  </si>
  <si>
    <t>233659822:fre</t>
  </si>
  <si>
    <t>2174171</t>
  </si>
  <si>
    <t>991004036919702656</t>
  </si>
  <si>
    <t>2266420280002656</t>
  </si>
  <si>
    <t>32285002286515</t>
  </si>
  <si>
    <t>893699764</t>
  </si>
  <si>
    <t>D505 .R86 1925</t>
  </si>
  <si>
    <t>0                      D  0505000R  86          1925</t>
  </si>
  <si>
    <t>How the war began in 1914 : being the diary of the Russian Foreign office from the 3rd to the 20th (old style) of July, 1914 / translated from the original Russian by Major W. Cyprian Bridge ; with a foreword to the translation by S.D. Sazonov ; and an introduction by Baron M.F. Schilling.</t>
  </si>
  <si>
    <t>Russia. Ministerstvo inostrannykh del.</t>
  </si>
  <si>
    <t>London : G. Allen &amp; Unwin, 1925.</t>
  </si>
  <si>
    <t>1989-11-28</t>
  </si>
  <si>
    <t>1397621:eng</t>
  </si>
  <si>
    <t>355319</t>
  </si>
  <si>
    <t>991002458749702656</t>
  </si>
  <si>
    <t>2264656030002656</t>
  </si>
  <si>
    <t>32285000020114</t>
  </si>
  <si>
    <t>893691639</t>
  </si>
  <si>
    <t>D505 .W35</t>
  </si>
  <si>
    <t>0                      D  0505000W  35</t>
  </si>
  <si>
    <t>Over there; European reaction to Americans in World War I [by] Robert C. Walton.</t>
  </si>
  <si>
    <t>Walton, Robert Cutler.</t>
  </si>
  <si>
    <t>Itasca, Ill., F. E. Peacock [1972, c1971]</t>
  </si>
  <si>
    <t>Primary sources in American history</t>
  </si>
  <si>
    <t>1397495:eng</t>
  </si>
  <si>
    <t>320142</t>
  </si>
  <si>
    <t>991002319129702656</t>
  </si>
  <si>
    <t>2258723620002656</t>
  </si>
  <si>
    <t>32285001188027</t>
  </si>
  <si>
    <t>893328933</t>
  </si>
  <si>
    <t>D511 .A574</t>
  </si>
  <si>
    <t>0                      D  0511000A  574</t>
  </si>
  <si>
    <t>The origins of the War of 1914. Translated and edited by Isabella M. Massey.</t>
  </si>
  <si>
    <t>Albertini, Luigi, 1871-1941.</t>
  </si>
  <si>
    <t>London; New York, Oxford University Press, 1952-57.</t>
  </si>
  <si>
    <t>2005-12-07</t>
  </si>
  <si>
    <t>1152533336:eng</t>
  </si>
  <si>
    <t>168712</t>
  </si>
  <si>
    <t>991000958689702656</t>
  </si>
  <si>
    <t>2261930280002656</t>
  </si>
  <si>
    <t>32285002161387</t>
  </si>
  <si>
    <t>893413842</t>
  </si>
  <si>
    <t>D511 .A574 V.2</t>
  </si>
  <si>
    <t>0                      D  0511000A  574                                                     V.2</t>
  </si>
  <si>
    <t>V.2*</t>
  </si>
  <si>
    <t>32285002161395</t>
  </si>
  <si>
    <t>893407688</t>
  </si>
  <si>
    <t>D511 .A574 V.3</t>
  </si>
  <si>
    <t>0                      D  0511000A  574                                                     V.3</t>
  </si>
  <si>
    <t>V.3*</t>
  </si>
  <si>
    <t>32285002161403</t>
  </si>
  <si>
    <t>893432476</t>
  </si>
  <si>
    <t>D511 .B75 1917</t>
  </si>
  <si>
    <t>0                      D  0511000B  75          1917</t>
  </si>
  <si>
    <t>The diplomacy of the great war / by Arthur Bullard.</t>
  </si>
  <si>
    <t>Bullard, Arthur, 1879-1929.</t>
  </si>
  <si>
    <t>New York : Macmillan, 1917, c1916.</t>
  </si>
  <si>
    <t>2271680:eng</t>
  </si>
  <si>
    <t>6901664</t>
  </si>
  <si>
    <t>991000330919702656</t>
  </si>
  <si>
    <t>2268408070002656</t>
  </si>
  <si>
    <t>32285000014646</t>
  </si>
  <si>
    <t>893231039</t>
  </si>
  <si>
    <t>D511 .C5 1918</t>
  </si>
  <si>
    <t>0                      D  0511000C  5           1918</t>
  </si>
  <si>
    <t>The immediate causes of the great war / by Oliver Perry Chitwood.</t>
  </si>
  <si>
    <t>Chitwood, Oliver Perry, 1874-1971.</t>
  </si>
  <si>
    <t>New York : Thomas Y. Crowell company, [c1918]</t>
  </si>
  <si>
    <t>1918</t>
  </si>
  <si>
    <t>1992-02-21</t>
  </si>
  <si>
    <t>196369788:eng</t>
  </si>
  <si>
    <t>948946</t>
  </si>
  <si>
    <t>991003410629702656</t>
  </si>
  <si>
    <t>2264995250002656</t>
  </si>
  <si>
    <t>32285000973502</t>
  </si>
  <si>
    <t>893258393</t>
  </si>
  <si>
    <t>D511 .D24 1918</t>
  </si>
  <si>
    <t>0                      D  0511000D  24          1918</t>
  </si>
  <si>
    <t>The roots of the war : a non-technical history of Europe, 1870-1914, A.D. / by William Stearns Davis, PH. D., in collaboration with William Anderson, PH. D., and Mason W. Tyler.</t>
  </si>
  <si>
    <t>Davis, William Stearns, 1877-1930.</t>
  </si>
  <si>
    <t>New York : The Century Co., 1918.</t>
  </si>
  <si>
    <t>1997-12-11</t>
  </si>
  <si>
    <t>1992-03-09</t>
  </si>
  <si>
    <t>1727136:eng</t>
  </si>
  <si>
    <t>580074</t>
  </si>
  <si>
    <t>991003014659702656</t>
  </si>
  <si>
    <t>2270970730002656</t>
  </si>
  <si>
    <t>32285000993153</t>
  </si>
  <si>
    <t>893686097</t>
  </si>
  <si>
    <t>D511 .F64</t>
  </si>
  <si>
    <t>0                      D  0511000F  64</t>
  </si>
  <si>
    <t>The origins and legacies of World War I [by] D. F. Fleming.</t>
  </si>
  <si>
    <t>Fleming, Denna Frank, 1893-1980.</t>
  </si>
  <si>
    <t>Garden City, N.Y., Doubleday, 1968.</t>
  </si>
  <si>
    <t>901275061:eng</t>
  </si>
  <si>
    <t>395578</t>
  </si>
  <si>
    <t>991002671919702656</t>
  </si>
  <si>
    <t>2260676290002656</t>
  </si>
  <si>
    <t>32285002326758</t>
  </si>
  <si>
    <t>893873836</t>
  </si>
  <si>
    <t>D511 .K34 1984</t>
  </si>
  <si>
    <t>0                      D  0511000K  34          1984</t>
  </si>
  <si>
    <t>The fateful alliance : France, Russia, and the coming of the First World War / George F. Kennan.</t>
  </si>
  <si>
    <t>Kennan, George F. (George Frost), 1904-2005.</t>
  </si>
  <si>
    <t>New York : Pantheon Books, 1984.</t>
  </si>
  <si>
    <t>839408342:eng</t>
  </si>
  <si>
    <t>10753606</t>
  </si>
  <si>
    <t>991000426369702656</t>
  </si>
  <si>
    <t>2265517610002656</t>
  </si>
  <si>
    <t>9780394534947</t>
  </si>
  <si>
    <t>32285000271600</t>
  </si>
  <si>
    <t>893237302</t>
  </si>
  <si>
    <t>D511 .L227</t>
  </si>
  <si>
    <t>0                      D  0511000L  227</t>
  </si>
  <si>
    <t>1914: the coming of the First World War / edited by Walter Laqueur &amp; George L. Mosse.</t>
  </si>
  <si>
    <t>New York : Harper &amp; Row, [1966]</t>
  </si>
  <si>
    <t>Harper torchbooks ; TB1306</t>
  </si>
  <si>
    <t>1999-07-14</t>
  </si>
  <si>
    <t>2891006113:eng</t>
  </si>
  <si>
    <t>325776</t>
  </si>
  <si>
    <t>991002360529702656</t>
  </si>
  <si>
    <t>2269709170002656</t>
  </si>
  <si>
    <t>32285002326832</t>
  </si>
  <si>
    <t>893347412</t>
  </si>
  <si>
    <t>D511 .L329 1970</t>
  </si>
  <si>
    <t>0                      D  0511000L  329         1970</t>
  </si>
  <si>
    <t>The outbreak of the First World War; who or what was responsible? Edited with an introd. by Dwight E. Lee.</t>
  </si>
  <si>
    <t>Lee, Dwight Erwin, 1898- editor.</t>
  </si>
  <si>
    <t>Lexington, Mass., D. C. Heath [1970]</t>
  </si>
  <si>
    <t>1998-12-04</t>
  </si>
  <si>
    <t>23889915:eng</t>
  </si>
  <si>
    <t>64904</t>
  </si>
  <si>
    <t>991000205559702656</t>
  </si>
  <si>
    <t>2255566750002656</t>
  </si>
  <si>
    <t>32285002326840</t>
  </si>
  <si>
    <t>893865197</t>
  </si>
  <si>
    <t>D511 .L4</t>
  </si>
  <si>
    <t>0                      D  0511000L  4</t>
  </si>
  <si>
    <t>Revelations of an international spy, by I. T. T. Lincoln ...</t>
  </si>
  <si>
    <t>Trebitsch-Lincoln, Ignatius Timothy, 1879-1943.</t>
  </si>
  <si>
    <t>New York, R. M. McBride &amp; company, 1916.</t>
  </si>
  <si>
    <t>1916</t>
  </si>
  <si>
    <t>1998-09-29</t>
  </si>
  <si>
    <t>325920503:eng</t>
  </si>
  <si>
    <t>1649343</t>
  </si>
  <si>
    <t>991003853139702656</t>
  </si>
  <si>
    <t>2254846990002656</t>
  </si>
  <si>
    <t>32285002326865</t>
  </si>
  <si>
    <t>893506068</t>
  </si>
  <si>
    <t>D511 .N6</t>
  </si>
  <si>
    <t>0                      D  0511000N  6</t>
  </si>
  <si>
    <t>International crisis : the outbreak of World War I / Eugenia V. Nomikos and Robert C. North.</t>
  </si>
  <si>
    <t>Nomikos, Eugenia V.</t>
  </si>
  <si>
    <t>Montreal : McGill-Queen's University Press, 1976.</t>
  </si>
  <si>
    <t>quc</t>
  </si>
  <si>
    <t>1993-02-05</t>
  </si>
  <si>
    <t>284980610:eng</t>
  </si>
  <si>
    <t>2506956</t>
  </si>
  <si>
    <t>991004144189702656</t>
  </si>
  <si>
    <t>2255474930002656</t>
  </si>
  <si>
    <t>9780773501645</t>
  </si>
  <si>
    <t>32285001188043</t>
  </si>
  <si>
    <t>893500170</t>
  </si>
  <si>
    <t>D511 .S28</t>
  </si>
  <si>
    <t>0                      D  0511000S  28</t>
  </si>
  <si>
    <t>England and Germany, 1740-1914, by Bernadotte Everly Schmitt ...</t>
  </si>
  <si>
    <t>Princeton, Princeton University Press; [etc., etc.] 1916.</t>
  </si>
  <si>
    <t>1997-11-16</t>
  </si>
  <si>
    <t>1538545:eng</t>
  </si>
  <si>
    <t>1126899</t>
  </si>
  <si>
    <t>991003557719702656</t>
  </si>
  <si>
    <t>2270227680002656</t>
  </si>
  <si>
    <t>32285002326949</t>
  </si>
  <si>
    <t>893787448</t>
  </si>
  <si>
    <t>D511 .S66</t>
  </si>
  <si>
    <t>0                      D  0511000S  66</t>
  </si>
  <si>
    <t>Decision for war, 1917 : the Laconia sinking and the Zimmermann telegram as key factors in the public reaction against Germany.</t>
  </si>
  <si>
    <t>Spencer, Samuel R., Jr. (Samuel Reid), 1919-2013.</t>
  </si>
  <si>
    <t>Rindge, N.H. : R.R. Smith, 1953.</t>
  </si>
  <si>
    <t>1953</t>
  </si>
  <si>
    <t>2000-12-13</t>
  </si>
  <si>
    <t>1994-02-28</t>
  </si>
  <si>
    <t>1750347:eng</t>
  </si>
  <si>
    <t>1127091</t>
  </si>
  <si>
    <t>991003557869702656</t>
  </si>
  <si>
    <t>2267338070002656</t>
  </si>
  <si>
    <t>32285001850626</t>
  </si>
  <si>
    <t>893592623</t>
  </si>
  <si>
    <t>D511 .S815 1996</t>
  </si>
  <si>
    <t>0                      D  0511000S  815         1996</t>
  </si>
  <si>
    <t>Armaments and the coming of war : Europe, 1904-1914 / David Stevenson.</t>
  </si>
  <si>
    <t>Stevenson, D. (David), 1954-</t>
  </si>
  <si>
    <t>Oxford : Clarendon Press ; New York : Oxford University Press, 1996.</t>
  </si>
  <si>
    <t>1997-06-03</t>
  </si>
  <si>
    <t>836992427:eng</t>
  </si>
  <si>
    <t>33079190</t>
  </si>
  <si>
    <t>991002546099702656</t>
  </si>
  <si>
    <t>2272077060002656</t>
  </si>
  <si>
    <t>9780198202080</t>
  </si>
  <si>
    <t>32285002613908</t>
  </si>
  <si>
    <t>893873667</t>
  </si>
  <si>
    <t>D511 .S816 1988</t>
  </si>
  <si>
    <t>0                      D  0511000S  816         1988</t>
  </si>
  <si>
    <t>The First World War and international politics / David Stevenson.</t>
  </si>
  <si>
    <t>Oxford [Oxfordshire] ; New York : Oxford University Press, 1988.</t>
  </si>
  <si>
    <t>1990-04-10</t>
  </si>
  <si>
    <t>13824824:eng</t>
  </si>
  <si>
    <t>16833256</t>
  </si>
  <si>
    <t>991001154329702656</t>
  </si>
  <si>
    <t>2263537150002656</t>
  </si>
  <si>
    <t>9780198730491</t>
  </si>
  <si>
    <t>32285000114040</t>
  </si>
  <si>
    <t>893684084</t>
  </si>
  <si>
    <t>D511 .T32 2004</t>
  </si>
  <si>
    <t>0                      D  0511000T  32          2004</t>
  </si>
  <si>
    <t>Balancing risks : great power intervention in the periphery / Jeffrey W. Taliaferro.</t>
  </si>
  <si>
    <t>Taliaferro, Jeffrey W.</t>
  </si>
  <si>
    <t>Ithaca, N.Y. : Cornell University Press, 2004.</t>
  </si>
  <si>
    <t>Cornell studies in security affairs</t>
  </si>
  <si>
    <t>2005-05-17</t>
  </si>
  <si>
    <t>891784243:eng</t>
  </si>
  <si>
    <t>53144730</t>
  </si>
  <si>
    <t>991004504829702656</t>
  </si>
  <si>
    <t>2267253790002656</t>
  </si>
  <si>
    <t>9780801442216</t>
  </si>
  <si>
    <t>32285005038301</t>
  </si>
  <si>
    <t>893430142</t>
  </si>
  <si>
    <t>D511 .T47</t>
  </si>
  <si>
    <t>0                      D  0511000T  47</t>
  </si>
  <si>
    <t>The twelve days : 24 July to 4 August 1914 / George Malcolm Thomson.</t>
  </si>
  <si>
    <t>Thomson, George Malcolm, 1899-1996.</t>
  </si>
  <si>
    <t>New York : Putnam, [1964]</t>
  </si>
  <si>
    <t>149570811:eng</t>
  </si>
  <si>
    <t>638427</t>
  </si>
  <si>
    <t>991003088319702656</t>
  </si>
  <si>
    <t>2257523180002656</t>
  </si>
  <si>
    <t>32285002326972</t>
  </si>
  <si>
    <t>893893363</t>
  </si>
  <si>
    <t>D511 .W32 1989</t>
  </si>
  <si>
    <t>0                      D  0511000W  32          1989</t>
  </si>
  <si>
    <t>War, peace, and social change in twentieth-century Europe / edited by Clive Emsley, Arthur Marwick, and Wendy Simpson.</t>
  </si>
  <si>
    <t>Milton Keyes [England] ; Philadelphia : Open University Press, 1989.</t>
  </si>
  <si>
    <t>War, peace, and social change</t>
  </si>
  <si>
    <t>2002-09-25</t>
  </si>
  <si>
    <t>1074947836:eng</t>
  </si>
  <si>
    <t>20263091</t>
  </si>
  <si>
    <t>991001555389702656</t>
  </si>
  <si>
    <t>2260302120002656</t>
  </si>
  <si>
    <t>9780335092901</t>
  </si>
  <si>
    <t>32285000664358</t>
  </si>
  <si>
    <t>893791506</t>
  </si>
  <si>
    <t>D511.S277 C6</t>
  </si>
  <si>
    <t>0                      D  0511000S  277                C  6</t>
  </si>
  <si>
    <t>Germany not guilty in 1914 (examining a much prized book) / by M.H. Cochran ; with a foreword by Hary Elmer Barnes.</t>
  </si>
  <si>
    <t>Cochran, M. H. (Michael Hermond)</t>
  </si>
  <si>
    <t>Boston, Mass. : The Stratford Company, [c1931]</t>
  </si>
  <si>
    <t>1931</t>
  </si>
  <si>
    <t>4242493:eng</t>
  </si>
  <si>
    <t>2186333</t>
  </si>
  <si>
    <t>991004040379702656</t>
  </si>
  <si>
    <t>2268571560002656</t>
  </si>
  <si>
    <t>32285001850634</t>
  </si>
  <si>
    <t>893718395</t>
  </si>
  <si>
    <t>D513 .S35</t>
  </si>
  <si>
    <t>0                      D  0513000S  35</t>
  </si>
  <si>
    <t>Sarajevo, a study in the origins of the great war by R. W. Seaton-Watson...</t>
  </si>
  <si>
    <t>Seton-Watson, R. W. (Robert William), 1879-1951.</t>
  </si>
  <si>
    <t>London, Hutchinson &amp; co. [1926]</t>
  </si>
  <si>
    <t>1926</t>
  </si>
  <si>
    <t>2001-11-07</t>
  </si>
  <si>
    <t>396610:eng</t>
  </si>
  <si>
    <t>2665187</t>
  </si>
  <si>
    <t>991004205759702656</t>
  </si>
  <si>
    <t>2260093550002656</t>
  </si>
  <si>
    <t>32285002327004</t>
  </si>
  <si>
    <t>893442340</t>
  </si>
  <si>
    <t>D515 .F24</t>
  </si>
  <si>
    <t>0                      D  0515000F  24</t>
  </si>
  <si>
    <t>German imperialism, 1914-1918: the development of a historical debate. Edited by Gerald D. Feldman.</t>
  </si>
  <si>
    <t>Feldman, Gerald D. compiler.</t>
  </si>
  <si>
    <t>New York, Wiley [1972]</t>
  </si>
  <si>
    <t>2005-11-10</t>
  </si>
  <si>
    <t>367744519:eng</t>
  </si>
  <si>
    <t>216867</t>
  </si>
  <si>
    <t>991001287349702656</t>
  </si>
  <si>
    <t>2256839800002656</t>
  </si>
  <si>
    <t>9780471257028</t>
  </si>
  <si>
    <t>32285002327020</t>
  </si>
  <si>
    <t>893608743</t>
  </si>
  <si>
    <t>D515 .F2713 1967b</t>
  </si>
  <si>
    <t>0                      D  0515000F  2713        1967b</t>
  </si>
  <si>
    <t>Germany's aims in the First World War. With introd. by Hajo Holborn and James Joll.</t>
  </si>
  <si>
    <t>Fischer, Fritz, 1908-1999.</t>
  </si>
  <si>
    <t>New York, W. W. Norton [1967]</t>
  </si>
  <si>
    <t>2004-03-30</t>
  </si>
  <si>
    <t>3881734454:eng</t>
  </si>
  <si>
    <t>1558559</t>
  </si>
  <si>
    <t>991003821039702656</t>
  </si>
  <si>
    <t>2266931240002656</t>
  </si>
  <si>
    <t>32285002327046</t>
  </si>
  <si>
    <t>893531626</t>
  </si>
  <si>
    <t>D515 .F275 1965</t>
  </si>
  <si>
    <t>0                      D  0515000F  275         1965</t>
  </si>
  <si>
    <t>Weltmacht oder Niedergang : Deutschland im ersten Weltkrieg / Fritz Fischer.</t>
  </si>
  <si>
    <t>[Frankfurt a.M.] : Europäische Verlagsanstalt, [1965]</t>
  </si>
  <si>
    <t>Hamburger Studien zur neueren Geschichte ; Bd. 1</t>
  </si>
  <si>
    <t>225786919:ger</t>
  </si>
  <si>
    <t>5326950</t>
  </si>
  <si>
    <t>991003600889702656</t>
  </si>
  <si>
    <t>2268089960002656</t>
  </si>
  <si>
    <t>32285004376678</t>
  </si>
  <si>
    <t>893722004</t>
  </si>
  <si>
    <t>D517 .M37 1991</t>
  </si>
  <si>
    <t>0                      D  0517000M  37          1991</t>
  </si>
  <si>
    <t>Dreadnought : Britain, Germany, and the coming of the great war / by Robert K. Massie.</t>
  </si>
  <si>
    <t>Massie, Robert K., 1929-2019.</t>
  </si>
  <si>
    <t>New York : Random House, c1991.</t>
  </si>
  <si>
    <t>2003-04-17</t>
  </si>
  <si>
    <t>1991-12-19</t>
  </si>
  <si>
    <t>67020283:eng</t>
  </si>
  <si>
    <t>23287851</t>
  </si>
  <si>
    <t>991001857119702656</t>
  </si>
  <si>
    <t>2271975410002656</t>
  </si>
  <si>
    <t>9780394528335</t>
  </si>
  <si>
    <t>32285000861285</t>
  </si>
  <si>
    <t>893226181</t>
  </si>
  <si>
    <t>D517 .R73</t>
  </si>
  <si>
    <t>0                      D  0517000R  73</t>
  </si>
  <si>
    <t>British war aims and peace diplomacy, 1914-1918, [by] V. H. Rothwell.</t>
  </si>
  <si>
    <t>Rothwell, Victor.</t>
  </si>
  <si>
    <t>Oxford, Clarendon Press, 1971.</t>
  </si>
  <si>
    <t>1994-04-19</t>
  </si>
  <si>
    <t>1339363:eng</t>
  </si>
  <si>
    <t>251310</t>
  </si>
  <si>
    <t>991001949149702656</t>
  </si>
  <si>
    <t>2268607720002656</t>
  </si>
  <si>
    <t>9780198223498</t>
  </si>
  <si>
    <t>32285001188076</t>
  </si>
  <si>
    <t>893516716</t>
  </si>
  <si>
    <t>D52 .G6</t>
  </si>
  <si>
    <t>0                      D  0052000G  6</t>
  </si>
  <si>
    <t>The Greek historians. The complete and unabridged historical works of Herodotus, translated by George Rawlinson; Thucydides, translated by Benjamin Jowett; Xenophon, translated by Henry G. Dakyns [and] Arrian, translated by Edward J. Chinnock. Edited, with an introduction, revisions and additional notes, by Francis R. B. Godolphin.</t>
  </si>
  <si>
    <t>Godolphin, Francis R. B. (Francis Richard Borroum), 1903-, editor.</t>
  </si>
  <si>
    <t>New York, Random house [1942]</t>
  </si>
  <si>
    <t>1942</t>
  </si>
  <si>
    <t>1996-08-28</t>
  </si>
  <si>
    <t>3372612437:eng</t>
  </si>
  <si>
    <t>404715</t>
  </si>
  <si>
    <t>991002698819702656</t>
  </si>
  <si>
    <t>2260395930002656</t>
  </si>
  <si>
    <t>32285002296902</t>
  </si>
  <si>
    <t>893335605</t>
  </si>
  <si>
    <t>32285002296910</t>
  </si>
  <si>
    <t>893347818</t>
  </si>
  <si>
    <t>D52 .M6 1969</t>
  </si>
  <si>
    <t>0                      D  0052000M  6           1969</t>
  </si>
  <si>
    <t>Quarto contributo alla storia degli studi classici e del mondo antico / Arnaldo Momigliano.</t>
  </si>
  <si>
    <t>Momigliano, Arnaldo compiler.</t>
  </si>
  <si>
    <t>Roma : Edizioni di storia e letteratura, 1969.</t>
  </si>
  <si>
    <t>ita</t>
  </si>
  <si>
    <t xml:space="preserve">it </t>
  </si>
  <si>
    <t>Storia e letteratura ; 115</t>
  </si>
  <si>
    <t>3768626639:ita</t>
  </si>
  <si>
    <t>2100589</t>
  </si>
  <si>
    <t>991004182719702656</t>
  </si>
  <si>
    <t>2272502400002656</t>
  </si>
  <si>
    <t>32285004848288</t>
  </si>
  <si>
    <t>893806767</t>
  </si>
  <si>
    <t>D520.T8 M6</t>
  </si>
  <si>
    <t>0                      D  0520000T  8                  M  6</t>
  </si>
  <si>
    <t>Ambassador Morgenthau's story, by Henry Morgenthau, formerly American ambassador to Turkey.</t>
  </si>
  <si>
    <t>Morgenthau, Henry, 1856-1946.</t>
  </si>
  <si>
    <t>Garden City, N.Y., Doubleday, Page, 1918.</t>
  </si>
  <si>
    <t>2004-10-22</t>
  </si>
  <si>
    <t>707736:eng</t>
  </si>
  <si>
    <t>1173400</t>
  </si>
  <si>
    <t>991003590559702656</t>
  </si>
  <si>
    <t>2271238130002656</t>
  </si>
  <si>
    <t>32285002327111</t>
  </si>
  <si>
    <t>893604955</t>
  </si>
  <si>
    <t>D521 .G73 1986</t>
  </si>
  <si>
    <t>0                      D  0521000G  73          1986</t>
  </si>
  <si>
    <t>The Great War / William R. Griffiths.</t>
  </si>
  <si>
    <t>Griffiths, William R.</t>
  </si>
  <si>
    <t>Wayne, N.J. : Avery Pub. Group, c1986.</t>
  </si>
  <si>
    <t>The West Point military history series</t>
  </si>
  <si>
    <t>1990-03-20</t>
  </si>
  <si>
    <t>2564784276:eng</t>
  </si>
  <si>
    <t>13126087</t>
  </si>
  <si>
    <t>991000787569702656</t>
  </si>
  <si>
    <t>2257706330002656</t>
  </si>
  <si>
    <t>9780895292735</t>
  </si>
  <si>
    <t>32285000087493</t>
  </si>
  <si>
    <t>893865679</t>
  </si>
  <si>
    <t>D521 .H3</t>
  </si>
  <si>
    <t>0                      D  0521000H  3</t>
  </si>
  <si>
    <t>The Literary digest history of the world war / compiled from original and contemporary sources: American, British, French, German, and others by Francis Whiting Halsey.</t>
  </si>
  <si>
    <t>Halsey, Francis W. (Francis Whiting), 1851-1919, compiler.</t>
  </si>
  <si>
    <t>New York ; London : Funk &amp; Wagnalls Company, 1919-20.</t>
  </si>
  <si>
    <t>2002-01-29</t>
  </si>
  <si>
    <t>1993-02-24</t>
  </si>
  <si>
    <t>8960662400:eng</t>
  </si>
  <si>
    <t>312834</t>
  </si>
  <si>
    <t>991002290299702656</t>
  </si>
  <si>
    <t>2271237450002656</t>
  </si>
  <si>
    <t>32285001535458</t>
  </si>
  <si>
    <t>893697592</t>
  </si>
  <si>
    <t>32285001535466</t>
  </si>
  <si>
    <t>893703914</t>
  </si>
  <si>
    <t>32285001535441</t>
  </si>
  <si>
    <t>893716275</t>
  </si>
  <si>
    <t>32285001535516</t>
  </si>
  <si>
    <t>893697593</t>
  </si>
  <si>
    <t>32285001535532</t>
  </si>
  <si>
    <t>893697591</t>
  </si>
  <si>
    <t>1995-04-15</t>
  </si>
  <si>
    <t>32285001535490</t>
  </si>
  <si>
    <t>893691447</t>
  </si>
  <si>
    <t>32285001535482</t>
  </si>
  <si>
    <t>893703915</t>
  </si>
  <si>
    <t>32285001535474</t>
  </si>
  <si>
    <t>893697589</t>
  </si>
  <si>
    <t>32285001535524</t>
  </si>
  <si>
    <t>893697590</t>
  </si>
  <si>
    <t>32285001535508</t>
  </si>
  <si>
    <t>893691448</t>
  </si>
  <si>
    <t>D521 .H48</t>
  </si>
  <si>
    <t>0                      D  0521000H  48</t>
  </si>
  <si>
    <t>History of World War I / editor-in-chief, A. J. P. Taylor ; compiled by S. L. Mayer.</t>
  </si>
  <si>
    <t>London : Octopus Books, 1974.</t>
  </si>
  <si>
    <t>2005-12-15</t>
  </si>
  <si>
    <t>1991-04-10</t>
  </si>
  <si>
    <t>54060893:eng</t>
  </si>
  <si>
    <t>1530958</t>
  </si>
  <si>
    <t>991003806909702656</t>
  </si>
  <si>
    <t>2269709960002656</t>
  </si>
  <si>
    <t>9780706403985</t>
  </si>
  <si>
    <t>32285000580588</t>
  </si>
  <si>
    <t>893699437</t>
  </si>
  <si>
    <t>D521 .M412</t>
  </si>
  <si>
    <t>0                      D  0521000M  412</t>
  </si>
  <si>
    <t>The American heritage history of World War I / by the editors of American heritage, the magazine of history. Narrative by S. L. A. Marshall. With a prologue by Edmund Stillman. Editor in charge: Alvin M. Josephy, Jr.; managing editor: Joseph L. Gardner.</t>
  </si>
  <si>
    <t>Marshall, S. L. A. (Samuel Lyman Atwood), 1900-1977.</t>
  </si>
  <si>
    <t>[New York] : American Heritage Pub. Co.; book trade distribution by Simon and Schuster, [1964]</t>
  </si>
  <si>
    <t>1990-03-12</t>
  </si>
  <si>
    <t>600071:eng</t>
  </si>
  <si>
    <t>384558</t>
  </si>
  <si>
    <t>991002641639702656</t>
  </si>
  <si>
    <t>2256159090002656</t>
  </si>
  <si>
    <t>32285000081413</t>
  </si>
  <si>
    <t>893873774</t>
  </si>
  <si>
    <t>D521 .T553</t>
  </si>
  <si>
    <t>0                      D  0521000T  553</t>
  </si>
  <si>
    <t>The First World War / by Richard Thoumin. Edited and translated by Martin Kieffer.</t>
  </si>
  <si>
    <t>Thoumin, Richard Lodoïs, 1897- editor.</t>
  </si>
  <si>
    <t>London : Secker &amp; Warburg, [1963]</t>
  </si>
  <si>
    <t>History in the making</t>
  </si>
  <si>
    <t>2004-01-22</t>
  </si>
  <si>
    <t>1993-03-09</t>
  </si>
  <si>
    <t>2973798735:eng</t>
  </si>
  <si>
    <t>561734</t>
  </si>
  <si>
    <t>991002992669702656</t>
  </si>
  <si>
    <t>2255351110002656</t>
  </si>
  <si>
    <t>32285001570810</t>
  </si>
  <si>
    <t>893498811</t>
  </si>
  <si>
    <t>D522 .T3 1964</t>
  </si>
  <si>
    <t>0                      D  0522000T  3           1964</t>
  </si>
  <si>
    <t>Illustrated history of the First World War / [by] A. J. P. Taylor.</t>
  </si>
  <si>
    <t>New York : Putnam, [1964, c1963]</t>
  </si>
  <si>
    <t>3901193296:eng</t>
  </si>
  <si>
    <t>253080</t>
  </si>
  <si>
    <t>991001955749702656</t>
  </si>
  <si>
    <t>2267323170002656</t>
  </si>
  <si>
    <t>32285000580570</t>
  </si>
  <si>
    <t>893804068</t>
  </si>
  <si>
    <t>D522 .T4</t>
  </si>
  <si>
    <t>0                      D  0522000T  4</t>
  </si>
  <si>
    <t>The Great War, 1914-1918 : a pictorial history / by John Terraine.</t>
  </si>
  <si>
    <t>Terraine, John.</t>
  </si>
  <si>
    <t>New York : Macmillan, [1965]</t>
  </si>
  <si>
    <t>1994-05-11</t>
  </si>
  <si>
    <t>4159845520:eng</t>
  </si>
  <si>
    <t>988106</t>
  </si>
  <si>
    <t>991003450569702656</t>
  </si>
  <si>
    <t>2270748470002656</t>
  </si>
  <si>
    <t>32285001896272</t>
  </si>
  <si>
    <t>893617344</t>
  </si>
  <si>
    <t>D523 .A546 1965</t>
  </si>
  <si>
    <t>0                      D  0523000A  546         1965</t>
  </si>
  <si>
    <t>The meaning of the First World War / René Albrecht-Carrié.</t>
  </si>
  <si>
    <t>Albrecht-Carrié, René, 1904-1978.</t>
  </si>
  <si>
    <t>Englewood Cliffs, N.J. : Prentice-Hall, [1965]</t>
  </si>
  <si>
    <t>A Spectrum book</t>
  </si>
  <si>
    <t>2005-11-14</t>
  </si>
  <si>
    <t>1874642:eng</t>
  </si>
  <si>
    <t>891585</t>
  </si>
  <si>
    <t>991003583149702656</t>
  </si>
  <si>
    <t>2263269490002656</t>
  </si>
  <si>
    <t>32285004334040</t>
  </si>
  <si>
    <t>893623646</t>
  </si>
  <si>
    <t>D523 .B85</t>
  </si>
  <si>
    <t>0                      D  0523000B  85</t>
  </si>
  <si>
    <t>A world in ferment; interpretations of the war for a new world, by Nicholas Murray Butler ...</t>
  </si>
  <si>
    <t>Butler, Nicholas Murray, 1862-1947.</t>
  </si>
  <si>
    <t>New York, C. Scribner's Sons, 1917.</t>
  </si>
  <si>
    <t>1996-11-20</t>
  </si>
  <si>
    <t>2131135:eng</t>
  </si>
  <si>
    <t>1180930</t>
  </si>
  <si>
    <t>991003602449702656</t>
  </si>
  <si>
    <t>2256472890002656</t>
  </si>
  <si>
    <t>32285002327210</t>
  </si>
  <si>
    <t>893887659</t>
  </si>
  <si>
    <t>D523 .C548</t>
  </si>
  <si>
    <t>0                      D  0523000C  548</t>
  </si>
  <si>
    <t>Social studies of the war / by Elmer T. Clark.</t>
  </si>
  <si>
    <t>Clark, Elmer T. (Elmer Talmage), 1886-1966.</t>
  </si>
  <si>
    <t>New York : George H. Doran, 1919.</t>
  </si>
  <si>
    <t>1999-11-22</t>
  </si>
  <si>
    <t>1993-02-22</t>
  </si>
  <si>
    <t>83374822:eng</t>
  </si>
  <si>
    <t>3916714</t>
  </si>
  <si>
    <t>991004547199702656</t>
  </si>
  <si>
    <t>2264133190002656</t>
  </si>
  <si>
    <t>32285001503274</t>
  </si>
  <si>
    <t>893882585</t>
  </si>
  <si>
    <t>D523 .E4 1915a</t>
  </si>
  <si>
    <t>0                      D  0523000E  4           1915a</t>
  </si>
  <si>
    <t>The road toward peace; a contribution to the study of the causes of the European war and of the means of preventing war in the future, by Charles W. Eliot.</t>
  </si>
  <si>
    <t>Eliot, Charles William, 1834-1926.</t>
  </si>
  <si>
    <t>Boston, New York, Houghton Mifflin Company, 1915.</t>
  </si>
  <si>
    <t>1873698:eng</t>
  </si>
  <si>
    <t>891011</t>
  </si>
  <si>
    <t>991003357029702656</t>
  </si>
  <si>
    <t>2263275650002656</t>
  </si>
  <si>
    <t>32285002327228</t>
  </si>
  <si>
    <t>893348603</t>
  </si>
  <si>
    <t>D523 .H25</t>
  </si>
  <si>
    <t>0                      D  0523000H  25</t>
  </si>
  <si>
    <t>England or Germany? By Frank Harris.</t>
  </si>
  <si>
    <t>Harris, Frank, 1856-1931.</t>
  </si>
  <si>
    <t>New York, The Wilmarth press, 1915.</t>
  </si>
  <si>
    <t>2002-11-05</t>
  </si>
  <si>
    <t>1469360:eng</t>
  </si>
  <si>
    <t>456803</t>
  </si>
  <si>
    <t>991002813169702656</t>
  </si>
  <si>
    <t>2263065670002656</t>
  </si>
  <si>
    <t>32285002327244</t>
  </si>
  <si>
    <t>893716948</t>
  </si>
  <si>
    <t>D527 .S73</t>
  </si>
  <si>
    <t>0                      D  0527000S  73</t>
  </si>
  <si>
    <t>The First World War; a photographic history, edited with captions and an introduction by Laurence Stallings.</t>
  </si>
  <si>
    <t>Stallings, Laurence, 1894-1968.</t>
  </si>
  <si>
    <t>New York, Simon and Schuster, 1933.</t>
  </si>
  <si>
    <t>1996-09-11</t>
  </si>
  <si>
    <t>864110891:eng</t>
  </si>
  <si>
    <t>394624</t>
  </si>
  <si>
    <t>991002669509702656</t>
  </si>
  <si>
    <t>2260072420002656</t>
  </si>
  <si>
    <t>32285002327384</t>
  </si>
  <si>
    <t>893323215</t>
  </si>
  <si>
    <t>D530 .F55</t>
  </si>
  <si>
    <t>0                      D  0530000F  55</t>
  </si>
  <si>
    <t>The memoirs of Marshal Foch, translated by Col. T. Bentley Mott ...</t>
  </si>
  <si>
    <t>Foch, Ferdinand, 1851-1929.</t>
  </si>
  <si>
    <t>Garden City, N.Y., Doubleday, Doran and Company, incorporated, 1931.</t>
  </si>
  <si>
    <t>2003-01-29</t>
  </si>
  <si>
    <t>1866211294:eng</t>
  </si>
  <si>
    <t>289112</t>
  </si>
  <si>
    <t>991002217309702656</t>
  </si>
  <si>
    <t>2261958280002656</t>
  </si>
  <si>
    <t>32285002327434</t>
  </si>
  <si>
    <t>893779556</t>
  </si>
  <si>
    <t>D530 .P38 1989</t>
  </si>
  <si>
    <t>0                      D  0530000P  38          1989</t>
  </si>
  <si>
    <t>The defeat of imperial Germany, 1917-1918 / by Rod Paschall ; with an introduction by John S.D. Eisenhower.</t>
  </si>
  <si>
    <t>Paschall, Rod, 1935-</t>
  </si>
  <si>
    <t>Chapel Hill, N.C. : Algonquin Books of Chapel Hill, 1989.</t>
  </si>
  <si>
    <t>Major battles and campaigns ; 1</t>
  </si>
  <si>
    <t>1997-01-22</t>
  </si>
  <si>
    <t>1991-07-25</t>
  </si>
  <si>
    <t>1957756:eng</t>
  </si>
  <si>
    <t>18560375</t>
  </si>
  <si>
    <t>991001368809702656</t>
  </si>
  <si>
    <t>2271424260002656</t>
  </si>
  <si>
    <t>9780945575054</t>
  </si>
  <si>
    <t>32285000662329</t>
  </si>
  <si>
    <t>893621283</t>
  </si>
  <si>
    <t>D531 .D45 1964</t>
  </si>
  <si>
    <t>0                      D  0531000D  45          1964</t>
  </si>
  <si>
    <t>Deutsche Kriegsziele, 1914-1918 [i. e. neunzehnhundertvierzehn bis neunzehnhundertachtzehn] eine Diskussion / Hrsg. von Ernst Wilhelm Graf Lynar.</t>
  </si>
  <si>
    <t>[Frankfurt/M. : Verlag Ullstein, 1964]</t>
  </si>
  <si>
    <t>Wir diskutieren ; 12</t>
  </si>
  <si>
    <t>867324057:ger</t>
  </si>
  <si>
    <t>5136201</t>
  </si>
  <si>
    <t>991003614049702656</t>
  </si>
  <si>
    <t>2264858790002656</t>
  </si>
  <si>
    <t>32285004382254</t>
  </si>
  <si>
    <t>893617523</t>
  </si>
  <si>
    <t>D531 .L8</t>
  </si>
  <si>
    <t>0                      D  0531000L  8</t>
  </si>
  <si>
    <t>My war memories, 1914-1918, by General Ludendorff; with 12 large maps and 46 smaller maps in the text.</t>
  </si>
  <si>
    <t>Ludendorff, Erich, 1865-1937.</t>
  </si>
  <si>
    <t>London, Hutchinson &amp; co. [1919]</t>
  </si>
  <si>
    <t>2002-09-24</t>
  </si>
  <si>
    <t>1997-07-22</t>
  </si>
  <si>
    <t>2452615239:eng</t>
  </si>
  <si>
    <t>768350</t>
  </si>
  <si>
    <t>991003245089702656</t>
  </si>
  <si>
    <t>2269364500002656</t>
  </si>
  <si>
    <t>32285002828852</t>
  </si>
  <si>
    <t>893410075</t>
  </si>
  <si>
    <t>32285002954252</t>
  </si>
  <si>
    <t>893416198</t>
  </si>
  <si>
    <t>D531 .L82</t>
  </si>
  <si>
    <t>0                      D  0531000L  82</t>
  </si>
  <si>
    <t>Ludendorff's own story, August 1914-November 1918; the Great War from the siege of Liege to the signing of the armistice as viewed from the Grand headquarters of the German Army, by Erich von Ludendorff ...</t>
  </si>
  <si>
    <t>New York, London, Harper &amp; Brothers [1920]</t>
  </si>
  <si>
    <t>1920</t>
  </si>
  <si>
    <t>3372248349:eng</t>
  </si>
  <si>
    <t>561160</t>
  </si>
  <si>
    <t>991003798329702656</t>
  </si>
  <si>
    <t>2267915600002656</t>
  </si>
  <si>
    <t>32285002327533</t>
  </si>
  <si>
    <t>893787788</t>
  </si>
  <si>
    <t>32285002327541</t>
  </si>
  <si>
    <t>893810188</t>
  </si>
  <si>
    <t>D531 .M773 1964</t>
  </si>
  <si>
    <t>0                      D  0531000M  773         1964</t>
  </si>
  <si>
    <t>The Kaiser and his court : the diaries, note books, and letters of Admiral Georg Alexander von Müller, chief of the naval cabinet, 1914-1918 / edited by Walter Görlitz. With a foreword by Sven von Müller. [Translated by Mervyn Savill.</t>
  </si>
  <si>
    <t>Müller, Georg Alexander von, 1854-1940.</t>
  </si>
  <si>
    <t>New York : Harcourt, Brace &amp; World, [1964, c1961]</t>
  </si>
  <si>
    <t>1st American ed.]</t>
  </si>
  <si>
    <t>1993-02-23</t>
  </si>
  <si>
    <t>2171127:eng</t>
  </si>
  <si>
    <t>1113487</t>
  </si>
  <si>
    <t>991003546879702656</t>
  </si>
  <si>
    <t>2272528050002656</t>
  </si>
  <si>
    <t>32285001535151</t>
  </si>
  <si>
    <t>893781118</t>
  </si>
  <si>
    <t>D541 .B83</t>
  </si>
  <si>
    <t>0                      D  0541000B  83</t>
  </si>
  <si>
    <t>Brave Belgians, from the French of Baron C. Buffin, by Alys Hallard [pseud.]; preface by Baron de Broqueville ...</t>
  </si>
  <si>
    <t>Buffin, Camille, Baron, 1871-, editor.</t>
  </si>
  <si>
    <t>New York, London, G.P. Putnam's Sons, 1918.</t>
  </si>
  <si>
    <t>2090594:eng</t>
  </si>
  <si>
    <t>1157465</t>
  </si>
  <si>
    <t>991003577739702656</t>
  </si>
  <si>
    <t>2264078610002656</t>
  </si>
  <si>
    <t>32285002828860</t>
  </si>
  <si>
    <t>893410426</t>
  </si>
  <si>
    <t>D541 .M49</t>
  </si>
  <si>
    <t>0                      D  0541000M  49</t>
  </si>
  <si>
    <t>Cardinal Mercier's story / by His Eminence, D.J. Cardinal Mercier, Archbishop of Malines, introduction by Professor Fernand Mayence; prefatory letter by His Eminence James Cardinal Gibbons.</t>
  </si>
  <si>
    <t>Mercier, Désiré, 1851-1926.</t>
  </si>
  <si>
    <t>New York : George H. Doran Company, [c1920]</t>
  </si>
  <si>
    <t>1999-03-26</t>
  </si>
  <si>
    <t>3901213452:eng</t>
  </si>
  <si>
    <t>356389</t>
  </si>
  <si>
    <t>991002462429702656</t>
  </si>
  <si>
    <t>2265151480002656</t>
  </si>
  <si>
    <t>32285002327558</t>
  </si>
  <si>
    <t>893239089</t>
  </si>
  <si>
    <t>D545.A63 P2</t>
  </si>
  <si>
    <t>0                      D  0545000A  63                 P  2</t>
  </si>
  <si>
    <t>Our greatest battle (the Meuse-Argonne) by Frederick Palmer.</t>
  </si>
  <si>
    <t>Palmer, Frederick, 1873-1958.</t>
  </si>
  <si>
    <t>New York, Dodd, Mead and Company, 1919.</t>
  </si>
  <si>
    <t>1729380:eng</t>
  </si>
  <si>
    <t>675868</t>
  </si>
  <si>
    <t>991003133369702656</t>
  </si>
  <si>
    <t>2267205000002656</t>
  </si>
  <si>
    <t>32285002327673</t>
  </si>
  <si>
    <t>893887172</t>
  </si>
  <si>
    <t>D545.V3 O97 2002</t>
  </si>
  <si>
    <t>0                      D  0545000V  3                  O  97          2002</t>
  </si>
  <si>
    <t>The road to Verdun : World War I's most momentous battle and the folly of nationalism / Ian Ousby.</t>
  </si>
  <si>
    <t>Ousby, Ian, 1947-</t>
  </si>
  <si>
    <t>New York : Doubleday, 2002.</t>
  </si>
  <si>
    <t>2002-05-29</t>
  </si>
  <si>
    <t>2002-05-15</t>
  </si>
  <si>
    <t>3901560986:eng</t>
  </si>
  <si>
    <t>49285550</t>
  </si>
  <si>
    <t>991003767379702656</t>
  </si>
  <si>
    <t>2256713940002656</t>
  </si>
  <si>
    <t>9780385503938</t>
  </si>
  <si>
    <t>32285004488804</t>
  </si>
  <si>
    <t>893336911</t>
  </si>
  <si>
    <t>D546 .M55 2001</t>
  </si>
  <si>
    <t>0                      D  0546000M  55          2001</t>
  </si>
  <si>
    <t>Pessimism and British war policy, 1916-1918 / Brock Millman.</t>
  </si>
  <si>
    <t>Millman, Brock, 1963-</t>
  </si>
  <si>
    <t>London ; Portland, OR : Frank Cass, 2001.</t>
  </si>
  <si>
    <t>Cass series--British politics and society, 1467-1441</t>
  </si>
  <si>
    <t>2002-06-03</t>
  </si>
  <si>
    <t>2002-05-07</t>
  </si>
  <si>
    <t>2702615:eng</t>
  </si>
  <si>
    <t>44914198</t>
  </si>
  <si>
    <t>991003761339702656</t>
  </si>
  <si>
    <t>2268491320002656</t>
  </si>
  <si>
    <t>9780714650791</t>
  </si>
  <si>
    <t>32285004485958</t>
  </si>
  <si>
    <t>893693122</t>
  </si>
  <si>
    <t>D546 .W28 1987</t>
  </si>
  <si>
    <t>0                      D  0546000W  28          1987</t>
  </si>
  <si>
    <t>A class society at war, England, 1914-1918 / Bernard Waites.</t>
  </si>
  <si>
    <t>Waites, Bernard.</t>
  </si>
  <si>
    <t>Leamington Spa, UK ; New York : Berg ; New York : Distributed exclusively in the US and Canada by St. Martin's Press, 1987.</t>
  </si>
  <si>
    <t>1999-04-21</t>
  </si>
  <si>
    <t>1992-07-10</t>
  </si>
  <si>
    <t>444772128:eng</t>
  </si>
  <si>
    <t>15316345</t>
  </si>
  <si>
    <t>991001014249702656</t>
  </si>
  <si>
    <t>2257859100002656</t>
  </si>
  <si>
    <t>9780907582656</t>
  </si>
  <si>
    <t>32285001188423</t>
  </si>
  <si>
    <t>893596115</t>
  </si>
  <si>
    <t>D547.I6 M3</t>
  </si>
  <si>
    <t>0                      D  0547000I  6                  M  3</t>
  </si>
  <si>
    <t>The Irish at the front, by Michael McDonagh ... with an introduction by John Redmond, M.P.</t>
  </si>
  <si>
    <t>MacDonagh, Michael, 1862-1946.</t>
  </si>
  <si>
    <t>London, New York [etc.] Hodder and Stoughton, 1916.</t>
  </si>
  <si>
    <t>2092483:eng</t>
  </si>
  <si>
    <t>1158948</t>
  </si>
  <si>
    <t>991003578639702656</t>
  </si>
  <si>
    <t>2262165210002656</t>
  </si>
  <si>
    <t>32285002327780</t>
  </si>
  <si>
    <t>893252507</t>
  </si>
  <si>
    <t>D548 .A82 2002</t>
  </si>
  <si>
    <t>0                      D  0548000A  82          2002</t>
  </si>
  <si>
    <t>14-18, understanding the Great War / Stéphane Audoin-Rouzeau and Annette Becker ; translated from the French by Catherine Temerson.</t>
  </si>
  <si>
    <t>Audoin-Rouzeau, Stéphane.</t>
  </si>
  <si>
    <t>New York : Hill and Wang, c2002.</t>
  </si>
  <si>
    <t>2003-03-11</t>
  </si>
  <si>
    <t>4495109836:eng</t>
  </si>
  <si>
    <t>51206451</t>
  </si>
  <si>
    <t>991004002799702656</t>
  </si>
  <si>
    <t>2271376480002656</t>
  </si>
  <si>
    <t>9780809046423</t>
  </si>
  <si>
    <t>32285004683594</t>
  </si>
  <si>
    <t>893499981</t>
  </si>
  <si>
    <t>D548 .B3413 1986</t>
  </si>
  <si>
    <t>0                      D  0548000B  3413        1986</t>
  </si>
  <si>
    <t>The Great War and the French people / Jean-Jacques Becker ; translated from the French by Arnold Pomerans ; with an introduction by Jay Winter.</t>
  </si>
  <si>
    <t>Becker, Jean Jacques.</t>
  </si>
  <si>
    <t>New York : St. Martin's Press, 1986.</t>
  </si>
  <si>
    <t>1993-04-08</t>
  </si>
  <si>
    <t>1990-08-13</t>
  </si>
  <si>
    <t>4910265:eng</t>
  </si>
  <si>
    <t>13092078</t>
  </si>
  <si>
    <t>991000777339702656</t>
  </si>
  <si>
    <t>2271106750002656</t>
  </si>
  <si>
    <t>9780312346799</t>
  </si>
  <si>
    <t>32285000271683</t>
  </si>
  <si>
    <t>893438589</t>
  </si>
  <si>
    <t>D548 .W3</t>
  </si>
  <si>
    <t>0                      D  0548000W  3</t>
  </si>
  <si>
    <t>Dare call it treason. Introd. by Colonel John Elting.</t>
  </si>
  <si>
    <t>Watt, Richard M., 1930-</t>
  </si>
  <si>
    <t>New York, Simon and Schuster, 1963.</t>
  </si>
  <si>
    <t>1997-01-23</t>
  </si>
  <si>
    <t>1150999695:eng</t>
  </si>
  <si>
    <t>353653</t>
  </si>
  <si>
    <t>991002453899702656</t>
  </si>
  <si>
    <t>2267937790002656</t>
  </si>
  <si>
    <t>32285002327814</t>
  </si>
  <si>
    <t>893721475</t>
  </si>
  <si>
    <t>D550 .B6813 1971</t>
  </si>
  <si>
    <t>0                      D  0550000B  6813        1971</t>
  </si>
  <si>
    <t>A soldier's note-book, 1914-1918, by A.A. Brussilov (Aleksiei Aleksieevich Brusilov).</t>
  </si>
  <si>
    <t>Brusilov, Alekseĭ Alekseevich, 1853-1926.</t>
  </si>
  <si>
    <t>Westport, Conn., Greenwood Press [1971]</t>
  </si>
  <si>
    <t>West Point military library</t>
  </si>
  <si>
    <t>1283647:eng</t>
  </si>
  <si>
    <t>135636</t>
  </si>
  <si>
    <t>991000782829702656</t>
  </si>
  <si>
    <t>2263411110002656</t>
  </si>
  <si>
    <t>9780837150031</t>
  </si>
  <si>
    <t>32285002327822</t>
  </si>
  <si>
    <t>893515600</t>
  </si>
  <si>
    <t>D556 .G57 2000</t>
  </si>
  <si>
    <t>0                      D  0556000G  57          2000</t>
  </si>
  <si>
    <t>Czechoslovak troops in Russia and Siberia during the First World War / Blanka *Sev*cík Glos and George E. Glos.</t>
  </si>
  <si>
    <t>Glos, Blanka Ševčík.</t>
  </si>
  <si>
    <t>New York : Vantage Press, c2000.</t>
  </si>
  <si>
    <t>2002-10-02</t>
  </si>
  <si>
    <t>2002-09-12</t>
  </si>
  <si>
    <t>36846899:eng</t>
  </si>
  <si>
    <t>48057081</t>
  </si>
  <si>
    <t>991003886399702656</t>
  </si>
  <si>
    <t>2264930980002656</t>
  </si>
  <si>
    <t>9780533129683</t>
  </si>
  <si>
    <t>32285004647573</t>
  </si>
  <si>
    <t>893593014</t>
  </si>
  <si>
    <t>D56 .B34 1995</t>
  </si>
  <si>
    <t>0                      D  0056000B  34          1995</t>
  </si>
  <si>
    <t>Reading papyri, writing ancient history / Roger S. Bagnall.</t>
  </si>
  <si>
    <t>Bagnall, Roger S.</t>
  </si>
  <si>
    <t>London ; New York : Routledge, 1995.</t>
  </si>
  <si>
    <t>Approaching the ancient world</t>
  </si>
  <si>
    <t>1997-05-29</t>
  </si>
  <si>
    <t>15526828:eng</t>
  </si>
  <si>
    <t>32085761</t>
  </si>
  <si>
    <t>991002461779702656</t>
  </si>
  <si>
    <t>2272326490002656</t>
  </si>
  <si>
    <t>9780415093767</t>
  </si>
  <si>
    <t>32285002612454</t>
  </si>
  <si>
    <t>893710319</t>
  </si>
  <si>
    <t>D56 .H5 1983</t>
  </si>
  <si>
    <t>0                      D  0056000H  5           1983</t>
  </si>
  <si>
    <t>History and historians in late antiquity / edited by Brian Croke and Alanna M. Emmett.</t>
  </si>
  <si>
    <t>Sydney, Australia ; New York : Pergamon, 1983.</t>
  </si>
  <si>
    <t>351150142:eng</t>
  </si>
  <si>
    <t>10980753</t>
  </si>
  <si>
    <t>991000467319702656</t>
  </si>
  <si>
    <t>2262327980002656</t>
  </si>
  <si>
    <t>9780080298405</t>
  </si>
  <si>
    <t>32285001169183</t>
  </si>
  <si>
    <t>893438279</t>
  </si>
  <si>
    <t>D56.52.H45 E9</t>
  </si>
  <si>
    <t>0                      D  0056520H  45                 E  9</t>
  </si>
  <si>
    <t>Herodotus / J.A.S. Evans.</t>
  </si>
  <si>
    <t>Evans, J. A. S. (James Allan Stewart), 1931-</t>
  </si>
  <si>
    <t>Boston : Twayne, c1982.</t>
  </si>
  <si>
    <t>Twayne's world authors series ; TWAS 645</t>
  </si>
  <si>
    <t>1995-04-30</t>
  </si>
  <si>
    <t>2863486637:eng</t>
  </si>
  <si>
    <t>7575469</t>
  </si>
  <si>
    <t>991005134319702656</t>
  </si>
  <si>
    <t>2265584810002656</t>
  </si>
  <si>
    <t>9780805764888</t>
  </si>
  <si>
    <t>32285001169209</t>
  </si>
  <si>
    <t>893418429</t>
  </si>
  <si>
    <t>D56.52.H45 H37 1982</t>
  </si>
  <si>
    <t>0                      D  0056520H  45                 H  37          1982</t>
  </si>
  <si>
    <t>Herodotus and Greek history / John Hart.</t>
  </si>
  <si>
    <t>Hart, John, 1936-2011.</t>
  </si>
  <si>
    <t>New York : St. Martin's Press, 1982.</t>
  </si>
  <si>
    <t>2002-10-03</t>
  </si>
  <si>
    <t>7009432:eng</t>
  </si>
  <si>
    <t>8169446</t>
  </si>
  <si>
    <t>991005211449702656</t>
  </si>
  <si>
    <t>2269836240002656</t>
  </si>
  <si>
    <t>9780312370237</t>
  </si>
  <si>
    <t>32285001169217</t>
  </si>
  <si>
    <t>893412508</t>
  </si>
  <si>
    <t>D568.4 .M48</t>
  </si>
  <si>
    <t>0                      D  0568400M  48</t>
  </si>
  <si>
    <t>The wounded spirit; a study of Seven pillars of wisdom. With a preface by Sir Alec Kirkbride.</t>
  </si>
  <si>
    <t>Meyers, Jeffrey.</t>
  </si>
  <si>
    <t>London, Martin Brian &amp; O'Keeffe [1973]</t>
  </si>
  <si>
    <t>3857967076:eng</t>
  </si>
  <si>
    <t>790923</t>
  </si>
  <si>
    <t>991003265249702656</t>
  </si>
  <si>
    <t>2263930550002656</t>
  </si>
  <si>
    <t>9780856161407</t>
  </si>
  <si>
    <t>32285002328044</t>
  </si>
  <si>
    <t>893598424</t>
  </si>
  <si>
    <t>D568.7 .Z485</t>
  </si>
  <si>
    <t>0                      D  0568700Z  485</t>
  </si>
  <si>
    <t>The story of the Jewish legion, by Vladimir Jabotinsky; translated by Samuel Katz, with a foreword by Col. John Henry Patterson.</t>
  </si>
  <si>
    <t>Jabotinsky, Vladimir, 1880-1940.</t>
  </si>
  <si>
    <t>New York, B. Ackerman, incorporated [c1945]</t>
  </si>
  <si>
    <t>1945</t>
  </si>
  <si>
    <t>2000-10-13</t>
  </si>
  <si>
    <t>2908493625:eng</t>
  </si>
  <si>
    <t>177504</t>
  </si>
  <si>
    <t>991001057109702656</t>
  </si>
  <si>
    <t>2268223810002656</t>
  </si>
  <si>
    <t>32285002161494</t>
  </si>
  <si>
    <t>893614736</t>
  </si>
  <si>
    <t>D57 .B413</t>
  </si>
  <si>
    <t>0                      D  0057000B  413</t>
  </si>
  <si>
    <t>Introduction to ancient history. Translated from the 6th ed. by R. I. Frank and Frank D. Gilliard.</t>
  </si>
  <si>
    <t>Bengtson, Hermann, 1909-1989.</t>
  </si>
  <si>
    <t>Berkeley, University of California Press, 1970.</t>
  </si>
  <si>
    <t>2003-09-03</t>
  </si>
  <si>
    <t>1174133:eng</t>
  </si>
  <si>
    <t>102176</t>
  </si>
  <si>
    <t>991000620849702656</t>
  </si>
  <si>
    <t>2261714010002656</t>
  </si>
  <si>
    <t>9780520017238</t>
  </si>
  <si>
    <t>32285002296993</t>
  </si>
  <si>
    <t>893897058</t>
  </si>
  <si>
    <t>D57 .D28 1996</t>
  </si>
  <si>
    <t>0                      D  0057000D  28          1996</t>
  </si>
  <si>
    <t>Europe : a history / Norman Davies.</t>
  </si>
  <si>
    <t>Davies, Norman, 1939-</t>
  </si>
  <si>
    <t>Oxford ; New York : Oxford University Press, 1996.</t>
  </si>
  <si>
    <t>2002-01-17</t>
  </si>
  <si>
    <t>1996-11-27</t>
  </si>
  <si>
    <t>318301449:eng</t>
  </si>
  <si>
    <t>35593922</t>
  </si>
  <si>
    <t>991002713939702656</t>
  </si>
  <si>
    <t>2272015750002656</t>
  </si>
  <si>
    <t>9780195209129</t>
  </si>
  <si>
    <t>32285002386760</t>
  </si>
  <si>
    <t>893610190</t>
  </si>
  <si>
    <t>D57 .D931</t>
  </si>
  <si>
    <t>0                      D  0057000D  931</t>
  </si>
  <si>
    <t>History of Greece, from the earliest times to the end of the Persian war, tr. from the German of Professor Max Duncker by S. F. Alleyne.</t>
  </si>
  <si>
    <t>Duncker, Max, 1811-1886.</t>
  </si>
  <si>
    <t>London, R. Bentley &amp; son, 1883-86.</t>
  </si>
  <si>
    <t>1883</t>
  </si>
  <si>
    <t>6950341:eng</t>
  </si>
  <si>
    <t>3054997</t>
  </si>
  <si>
    <t>991004329599702656</t>
  </si>
  <si>
    <t>2268794760002656</t>
  </si>
  <si>
    <t>32285002297009</t>
  </si>
  <si>
    <t>893423669</t>
  </si>
  <si>
    <t>32285002297017</t>
  </si>
  <si>
    <t>893429929</t>
  </si>
  <si>
    <t>D57 .R8</t>
  </si>
  <si>
    <t>0                      D  0057000R  8</t>
  </si>
  <si>
    <t>A history of the ancient world / by M. Rostovtzeff.</t>
  </si>
  <si>
    <t>Rostovtzeff, Michael Ivanovitch, 1870-1952.</t>
  </si>
  <si>
    <t>Oxford : The Clarendon Press, 1926-1928.</t>
  </si>
  <si>
    <t>1996-07-29</t>
  </si>
  <si>
    <t>3855544892:eng</t>
  </si>
  <si>
    <t>829936</t>
  </si>
  <si>
    <t>991003306419702656</t>
  </si>
  <si>
    <t>2269720430002656</t>
  </si>
  <si>
    <t>32285002246642</t>
  </si>
  <si>
    <t>893874643</t>
  </si>
  <si>
    <t>32285002246659</t>
  </si>
  <si>
    <t>893881035</t>
  </si>
  <si>
    <t>D57 .S8</t>
  </si>
  <si>
    <t>0                      D  0057000S  8</t>
  </si>
  <si>
    <t>The ancient world.</t>
  </si>
  <si>
    <t>Swain, Joseph Ward, 1891-</t>
  </si>
  <si>
    <t>New York, Harper [1950]</t>
  </si>
  <si>
    <t>Harper's historical series</t>
  </si>
  <si>
    <t>1997-01-19</t>
  </si>
  <si>
    <t>2864230986:eng</t>
  </si>
  <si>
    <t>392286</t>
  </si>
  <si>
    <t>991002663659702656</t>
  </si>
  <si>
    <t>2263533290002656</t>
  </si>
  <si>
    <t>32285002297074</t>
  </si>
  <si>
    <t>893873817</t>
  </si>
  <si>
    <t>D570 .A353</t>
  </si>
  <si>
    <t>0                      D  0570000A  353</t>
  </si>
  <si>
    <t>Order of battle of the United States land forces in the world war... Prepared in the Historical section, Army war college.</t>
  </si>
  <si>
    <t>V.3 PT.1</t>
  </si>
  <si>
    <t>Army War College (U.S.). Historical Section.</t>
  </si>
  <si>
    <t>Washington, U. S. Govt. print. off., 1931 [v.1, '37]</t>
  </si>
  <si>
    <t>2044407241:eng</t>
  </si>
  <si>
    <t>420346</t>
  </si>
  <si>
    <t>991002738979702656</t>
  </si>
  <si>
    <t>2270661920002656</t>
  </si>
  <si>
    <t>32285002161510</t>
  </si>
  <si>
    <t>893798949</t>
  </si>
  <si>
    <t>V.3 PT.2</t>
  </si>
  <si>
    <t>32285002161528</t>
  </si>
  <si>
    <t>893780153</t>
  </si>
  <si>
    <t>32285002161502</t>
  </si>
  <si>
    <t>893798950</t>
  </si>
  <si>
    <t>D570 .C4</t>
  </si>
  <si>
    <t>0                      D  0570000C  4</t>
  </si>
  <si>
    <t>The American army in the European conflict, by Colonel de Chambrun and Captain de Marenches; with maps.</t>
  </si>
  <si>
    <t>Chambrun, Jacques Aldebert de Pineton, comte de, 1872-1962.</t>
  </si>
  <si>
    <t>New York, The Macmillan Company, 1919.</t>
  </si>
  <si>
    <t>2138401:eng</t>
  </si>
  <si>
    <t>1185428</t>
  </si>
  <si>
    <t>991003605669702656</t>
  </si>
  <si>
    <t>2268699420002656</t>
  </si>
  <si>
    <t>32285002161536</t>
  </si>
  <si>
    <t>893445741</t>
  </si>
  <si>
    <t>D570 .G7</t>
  </si>
  <si>
    <t>0                      D  0570000G  7</t>
  </si>
  <si>
    <t>Why we fought.</t>
  </si>
  <si>
    <t>Grattan, C. Hartley (Clinton Hartley), 1902-1980.</t>
  </si>
  <si>
    <t>New York, The Vanguard Press [c1929]</t>
  </si>
  <si>
    <t>1997-05-20</t>
  </si>
  <si>
    <t>1146631:eng</t>
  </si>
  <si>
    <t>1134516</t>
  </si>
  <si>
    <t>991003562939702656</t>
  </si>
  <si>
    <t>2267959240002656</t>
  </si>
  <si>
    <t>32285002328143</t>
  </si>
  <si>
    <t>893258567</t>
  </si>
  <si>
    <t>D570 .M27</t>
  </si>
  <si>
    <t>0                      D  0570000M  27</t>
  </si>
  <si>
    <t>Forward--march! The photographic record of America in the World War and the post war social upheaval / by Frank J. Mackey and Marcus Wilson Jernegan, PH. D., advisory editor.</t>
  </si>
  <si>
    <t>Mackey, Frank J. (Frank Joseph), 1890-</t>
  </si>
  <si>
    <t>Chicago : The Disabled American Veterans of the World War, Dept. of Rehabilitation, c1934-1937.</t>
  </si>
  <si>
    <t>1995-03-20</t>
  </si>
  <si>
    <t>2000-05-10</t>
  </si>
  <si>
    <t>2280976:eng</t>
  </si>
  <si>
    <t>1369431</t>
  </si>
  <si>
    <t>991003724049702656</t>
  </si>
  <si>
    <t>2269897300002656</t>
  </si>
  <si>
    <t>32285001188456</t>
  </si>
  <si>
    <t>893887806</t>
  </si>
  <si>
    <t>32285001188464</t>
  </si>
  <si>
    <t>893887807</t>
  </si>
  <si>
    <t>D570 .P32</t>
  </si>
  <si>
    <t>0                      D  0570000P  32</t>
  </si>
  <si>
    <t>Newton D. Baker : America at war : based on the personal papers of the Secretary of War in the World War, his correspondence with the President and important leaders at home and abroad, the confidential cablegrams between the War Department and headquarters in France, the minutes of the War Industries Board, and other first-hand material / by Frederick Palmer.</t>
  </si>
  <si>
    <t>New York : Dodd, Mead, 1931.</t>
  </si>
  <si>
    <t>1998-05-28</t>
  </si>
  <si>
    <t>1998-05-29</t>
  </si>
  <si>
    <t>10177861854:eng</t>
  </si>
  <si>
    <t>6810422</t>
  </si>
  <si>
    <t>991005042589702656</t>
  </si>
  <si>
    <t>2262950980002656</t>
  </si>
  <si>
    <t>32285002328192</t>
  </si>
  <si>
    <t>893501234</t>
  </si>
  <si>
    <t>32285002328200</t>
  </si>
  <si>
    <t>893520333</t>
  </si>
  <si>
    <t>D570 .P44 1931</t>
  </si>
  <si>
    <t>0                      D  0570000P  44          1931</t>
  </si>
  <si>
    <t>My experiences in the World War, by John J. Pershing ... with sixty-nine reproductions from photographs and numerous maps ...</t>
  </si>
  <si>
    <t>Pershing, John J. (John Joseph), 1860-1948.</t>
  </si>
  <si>
    <t>New York, Frederick A. Stokes Company, 1931.</t>
  </si>
  <si>
    <t>1997-02-22</t>
  </si>
  <si>
    <t>2008-11-14</t>
  </si>
  <si>
    <t>1536575:eng</t>
  </si>
  <si>
    <t>394688</t>
  </si>
  <si>
    <t>991002669689702656</t>
  </si>
  <si>
    <t>2260069090002656</t>
  </si>
  <si>
    <t>32285002328226</t>
  </si>
  <si>
    <t>893511038</t>
  </si>
  <si>
    <t>D570.3 1ST .A5</t>
  </si>
  <si>
    <t>0                      D  0570300                                                           1ST .A5</t>
  </si>
  <si>
    <t>History of the First division during the world war, 1917-1919, compiled and published by the Society of the First division...</t>
  </si>
  <si>
    <t>Society of the First Division.</t>
  </si>
  <si>
    <t>Philadelphia, Pa., The John C. Winston company, 1922.</t>
  </si>
  <si>
    <t>1922</t>
  </si>
  <si>
    <t>2701919:eng</t>
  </si>
  <si>
    <t>1828419</t>
  </si>
  <si>
    <t>991003902329702656</t>
  </si>
  <si>
    <t>2272314120002656</t>
  </si>
  <si>
    <t>32285002328275</t>
  </si>
  <si>
    <t>893531754</t>
  </si>
  <si>
    <t>D570.31st .A5</t>
  </si>
  <si>
    <t>0                      D  0570000                                                           .31st .A5</t>
  </si>
  <si>
    <t>32285002328283</t>
  </si>
  <si>
    <t>893499871</t>
  </si>
  <si>
    <t>D570.33 308th .J6</t>
  </si>
  <si>
    <t>0                      D  0570330                                                           308th .J6</t>
  </si>
  <si>
    <t>The lost battalion.</t>
  </si>
  <si>
    <t>Johnson, Thomas M. (Thomas Marvin), 1889-</t>
  </si>
  <si>
    <t>Indianapolis, New York, The Bobbs-Merrill Company [c1938]</t>
  </si>
  <si>
    <t>1551269:eng</t>
  </si>
  <si>
    <t>399942</t>
  </si>
  <si>
    <t>991002685499702656</t>
  </si>
  <si>
    <t>2257917800002656</t>
  </si>
  <si>
    <t>32285002328309</t>
  </si>
  <si>
    <t>893245501</t>
  </si>
  <si>
    <t>D570.34 5th .W4</t>
  </si>
  <si>
    <t>0                      D  0570340                                                           5th .W4</t>
  </si>
  <si>
    <t>Suicide battalions [by] Wendell Westover, captain, 4th M.G. bn., A.E.F.; with 46 illustrations [by] Lucien Jonas ...</t>
  </si>
  <si>
    <t>Westover, Wendell, 1895-1960.</t>
  </si>
  <si>
    <t>New York, London, G.P. Putnam's Sons, 1929.</t>
  </si>
  <si>
    <t>2003-01-21</t>
  </si>
  <si>
    <t>376691095:eng</t>
  </si>
  <si>
    <t>1540775</t>
  </si>
  <si>
    <t>991003812019702656</t>
  </si>
  <si>
    <t>2264462700002656</t>
  </si>
  <si>
    <t>32285002328325</t>
  </si>
  <si>
    <t>893722109</t>
  </si>
  <si>
    <t>D575 .A37 1987</t>
  </si>
  <si>
    <t>0                      D  0575000A  37          1987</t>
  </si>
  <si>
    <t>Africa and the First World War / edited by Melvin E. Page.</t>
  </si>
  <si>
    <t>New York : St. Martin's Press, 1987.</t>
  </si>
  <si>
    <t>54851733:eng</t>
  </si>
  <si>
    <t>14905650</t>
  </si>
  <si>
    <t>991000965339702656</t>
  </si>
  <si>
    <t>2265487520002656</t>
  </si>
  <si>
    <t>9780312004118</t>
  </si>
  <si>
    <t>32285001188506</t>
  </si>
  <si>
    <t>893608420</t>
  </si>
  <si>
    <t>D58 .H5</t>
  </si>
  <si>
    <t>0                      D  0058000H  5</t>
  </si>
  <si>
    <t>The history of Herodotus translated by George Rawlinson. Edited by E. H. Blakeney.</t>
  </si>
  <si>
    <t>Herodotus.</t>
  </si>
  <si>
    <t>London, J. M. Dent; New York, E. P. Dutton [1910]</t>
  </si>
  <si>
    <t>1910</t>
  </si>
  <si>
    <t>Everyman's library ; no. 405-406</t>
  </si>
  <si>
    <t>2004-10-30</t>
  </si>
  <si>
    <t>2010-11-18</t>
  </si>
  <si>
    <t>4923133536:eng</t>
  </si>
  <si>
    <t>1597464</t>
  </si>
  <si>
    <t>991003833669702656</t>
  </si>
  <si>
    <t>2272232410002656</t>
  </si>
  <si>
    <t>32285002297116</t>
  </si>
  <si>
    <t>893894214</t>
  </si>
  <si>
    <t>D58 .M36 1993</t>
  </si>
  <si>
    <t>0                      D  0058000M  36          1993</t>
  </si>
  <si>
    <t>The relationship between Herodotus' history and primary history / by Sara Mandell and David Noel Freedman.</t>
  </si>
  <si>
    <t>Mandell, Sara, 1938-</t>
  </si>
  <si>
    <t>Atlanta, Ga. : Scholars Press, c1993.</t>
  </si>
  <si>
    <t>South Florida studies in the history of Judaism ; no. 60</t>
  </si>
  <si>
    <t>2002-11-24</t>
  </si>
  <si>
    <t>386125:eng</t>
  </si>
  <si>
    <t>27429897</t>
  </si>
  <si>
    <t>991002138349702656</t>
  </si>
  <si>
    <t>2258618520002656</t>
  </si>
  <si>
    <t>9781555408381</t>
  </si>
  <si>
    <t>32285002003449</t>
  </si>
  <si>
    <t>893685000</t>
  </si>
  <si>
    <t>D58.H7 P6</t>
  </si>
  <si>
    <t>0                      D  0058000H  7                  P  6</t>
  </si>
  <si>
    <t>The history of Herodotus, by J. Enoch Powell.</t>
  </si>
  <si>
    <t>Powell, J. Enoch (John Enoch), 1912-1998.</t>
  </si>
  <si>
    <t>Cambridge [Eng.] The University press, 1939.</t>
  </si>
  <si>
    <t>1939</t>
  </si>
  <si>
    <t>Cambridge classical studies. General editors: F. M. Cornford, D. S. Robertson, F. E. Adcock. IV</t>
  </si>
  <si>
    <t>2004-10-28</t>
  </si>
  <si>
    <t>4020058297:eng</t>
  </si>
  <si>
    <t>1400481</t>
  </si>
  <si>
    <t>991003739289702656</t>
  </si>
  <si>
    <t>2264197760002656</t>
  </si>
  <si>
    <t>32285002297157</t>
  </si>
  <si>
    <t>893441651</t>
  </si>
  <si>
    <t>D580 .C64 1989</t>
  </si>
  <si>
    <t>0                      D  0580000C  64          1989</t>
  </si>
  <si>
    <t>Sea power in the Atlantic and Mediterranean in World War I / Paolo E. Coletta.</t>
  </si>
  <si>
    <t>Coletta, Paolo Enrico, 1916-</t>
  </si>
  <si>
    <t>Lanham [Md.] : University Press of America, c1989.</t>
  </si>
  <si>
    <t>1994-02-24</t>
  </si>
  <si>
    <t>1990-07-26</t>
  </si>
  <si>
    <t>21154943:eng</t>
  </si>
  <si>
    <t>19354230</t>
  </si>
  <si>
    <t>991001455269702656</t>
  </si>
  <si>
    <t>2270313870002656</t>
  </si>
  <si>
    <t>9780819174277</t>
  </si>
  <si>
    <t>32285000240647</t>
  </si>
  <si>
    <t>893715459</t>
  </si>
  <si>
    <t>D580 .N4</t>
  </si>
  <si>
    <t>0                      D  0580000N  4</t>
  </si>
  <si>
    <t>A naval history of the war, 1914-1918 / by Henry Newbolt.</t>
  </si>
  <si>
    <t>Newbolt, Henry John, Sir, 1862-1938.</t>
  </si>
  <si>
    <t>London : Hodder and Stoughton limited, [1920]</t>
  </si>
  <si>
    <t>1994-04-02</t>
  </si>
  <si>
    <t>1990-05-18</t>
  </si>
  <si>
    <t>348228862:eng</t>
  </si>
  <si>
    <t>653824</t>
  </si>
  <si>
    <t>991003105689702656</t>
  </si>
  <si>
    <t>2264007440002656</t>
  </si>
  <si>
    <t>32285000155035</t>
  </si>
  <si>
    <t>893774399</t>
  </si>
  <si>
    <t>D581 .J4 1919a</t>
  </si>
  <si>
    <t>0                      D  0581000J  4           1919a</t>
  </si>
  <si>
    <t>The grand fleet, 1914-1916 : its creation, development and work / by Admiral Viscount Jellicoe of Scapa.</t>
  </si>
  <si>
    <t>Jellicoe, John Rushworth, 1859-1935.</t>
  </si>
  <si>
    <t>New York : George H. Doran Co., [c1919]</t>
  </si>
  <si>
    <t>1994-03-30</t>
  </si>
  <si>
    <t>865171092:eng</t>
  </si>
  <si>
    <t>13614571</t>
  </si>
  <si>
    <t>991000852699702656</t>
  </si>
  <si>
    <t>2259687100002656</t>
  </si>
  <si>
    <t>32285001873073</t>
  </si>
  <si>
    <t>893426100</t>
  </si>
  <si>
    <t>D581 .S25</t>
  </si>
  <si>
    <t>0                      D  0581000S  25</t>
  </si>
  <si>
    <t>Germany's high sea fleet in the World War / by Admiral Scheer, with a portrait and twenty-eight plans.</t>
  </si>
  <si>
    <t>Scheer, Reinhardt.</t>
  </si>
  <si>
    <t>London ; New York [etc.] : Cassell and Company, ltd., 1920.</t>
  </si>
  <si>
    <t>1994-05-02</t>
  </si>
  <si>
    <t>1993-09-18</t>
  </si>
  <si>
    <t>4535537457:eng</t>
  </si>
  <si>
    <t>2765294</t>
  </si>
  <si>
    <t>991004235449702656</t>
  </si>
  <si>
    <t>2255170780002656</t>
  </si>
  <si>
    <t>32285001770634</t>
  </si>
  <si>
    <t>893882225</t>
  </si>
  <si>
    <t>D59 .C47 1969</t>
  </si>
  <si>
    <t>0                      D  0059000C  47          1969</t>
  </si>
  <si>
    <t>Ancient history / Michael Cheilik.</t>
  </si>
  <si>
    <t>Cheilik, Michael.</t>
  </si>
  <si>
    <t>New York : Barnes &amp; Noble, [1969]</t>
  </si>
  <si>
    <t>College outline series</t>
  </si>
  <si>
    <t>1991-01-16</t>
  </si>
  <si>
    <t>1807899795:eng</t>
  </si>
  <si>
    <t>34406</t>
  </si>
  <si>
    <t>991000087939702656</t>
  </si>
  <si>
    <t>2259778560002656</t>
  </si>
  <si>
    <t>32285000408335</t>
  </si>
  <si>
    <t>893230861</t>
  </si>
  <si>
    <t>D59 .H49</t>
  </si>
  <si>
    <t>0                      D  0059000H  49</t>
  </si>
  <si>
    <t>The ancient world; [prehistory-500 B.C.] by V. M. Hillyer and E. G. Huey.</t>
  </si>
  <si>
    <t>2006-01-31</t>
  </si>
  <si>
    <t>1660487:eng</t>
  </si>
  <si>
    <t>965466</t>
  </si>
  <si>
    <t>991004176209702656</t>
  </si>
  <si>
    <t>2258238670002656</t>
  </si>
  <si>
    <t>32285001295947</t>
  </si>
  <si>
    <t>893311154</t>
  </si>
  <si>
    <t>D59 .H5 1966</t>
  </si>
  <si>
    <t>0                      D  0059000H  5           1966</t>
  </si>
  <si>
    <t>The ancient world, by V. M. Hillyer and E. G. Huey.</t>
  </si>
  <si>
    <t>New ed. designed and rev. by Children's Press, Chicago. Consultants: William T. Nichol [and] John R. Lee.</t>
  </si>
  <si>
    <t>2001-10-29</t>
  </si>
  <si>
    <t>711783</t>
  </si>
  <si>
    <t>991004161159702656</t>
  </si>
  <si>
    <t>2261849500002656</t>
  </si>
  <si>
    <t>32285001295954</t>
  </si>
  <si>
    <t>893220671</t>
  </si>
  <si>
    <t>D59 .J64</t>
  </si>
  <si>
    <t>0                      D  0059000J  64</t>
  </si>
  <si>
    <t>From the Tigris to the Tiber; an introduction to ancient history, by Tom B. Jones.</t>
  </si>
  <si>
    <t>Jones, Tom B. (Tom Bard), 1909-1999.</t>
  </si>
  <si>
    <t>Homewood, Ill., Dorsey Press, 1969.</t>
  </si>
  <si>
    <t>The Dorsey series in European history</t>
  </si>
  <si>
    <t>1999-08-19</t>
  </si>
  <si>
    <t>850656594:eng</t>
  </si>
  <si>
    <t>6426</t>
  </si>
  <si>
    <t>991005439239702656</t>
  </si>
  <si>
    <t>2265425680002656</t>
  </si>
  <si>
    <t>32285002297264</t>
  </si>
  <si>
    <t>893707932</t>
  </si>
  <si>
    <t>D59 .R26</t>
  </si>
  <si>
    <t>0                      D  0059000R  26</t>
  </si>
  <si>
    <t>A manual of ancient history, from the earliest times to the fall of the Western empire, comprising the history of Chaldea, Assyria, Media, Babylonia, Lydia, Phoenicia, Syria, Judea, Egypt, Carthage, Persia, Greece, Macedonia, Rome, and Parthia. By George Rawlinson...</t>
  </si>
  <si>
    <t>Rawlinson, George, 1812-1902.</t>
  </si>
  <si>
    <t>Oxford, The Clarendon press, 1869.</t>
  </si>
  <si>
    <t>1869</t>
  </si>
  <si>
    <t>5378013534:eng</t>
  </si>
  <si>
    <t>660148933</t>
  </si>
  <si>
    <t>991003896619702656</t>
  </si>
  <si>
    <t>2259062440002656</t>
  </si>
  <si>
    <t>32285002297322</t>
  </si>
  <si>
    <t>893234797</t>
  </si>
  <si>
    <t>D59 .S75</t>
  </si>
  <si>
    <t>0                      D  0059000S  75</t>
  </si>
  <si>
    <t>A history of the ancient world / [by] Chester G. Starr.</t>
  </si>
  <si>
    <t>Starr, Chester G., 1914-1999.</t>
  </si>
  <si>
    <t>New York : Oxford University Press, 1965.</t>
  </si>
  <si>
    <t>2005-02-21</t>
  </si>
  <si>
    <t>1995-03-23</t>
  </si>
  <si>
    <t>149045835:eng</t>
  </si>
  <si>
    <t>392306</t>
  </si>
  <si>
    <t>991002663759702656</t>
  </si>
  <si>
    <t>2263515910002656</t>
  </si>
  <si>
    <t>32285002013885</t>
  </si>
  <si>
    <t>893685629</t>
  </si>
  <si>
    <t>D592.L8 H53 1982</t>
  </si>
  <si>
    <t>0                      D  0592000L  8                  H  53          1982</t>
  </si>
  <si>
    <t>Seven days to disaster : the sinking of the Lusitania / Des Hickey and Gus Smith.</t>
  </si>
  <si>
    <t>Hickey, Des.</t>
  </si>
  <si>
    <t>New York : Putnam, 1981, c1982.</t>
  </si>
  <si>
    <t>1997-12-07</t>
  </si>
  <si>
    <t>473175:eng</t>
  </si>
  <si>
    <t>7945015</t>
  </si>
  <si>
    <t>991005179869702656</t>
  </si>
  <si>
    <t>2271294080002656</t>
  </si>
  <si>
    <t>9780399126994</t>
  </si>
  <si>
    <t>32285000079110</t>
  </si>
  <si>
    <t>893446629</t>
  </si>
  <si>
    <t>D592.L8 P74 2002</t>
  </si>
  <si>
    <t>0                      D  0592000L  8                  P  74          2002</t>
  </si>
  <si>
    <t>Lusitania : an epic tragedy / Diana Preston.</t>
  </si>
  <si>
    <t>Preston, Diana, 1952-</t>
  </si>
  <si>
    <t>New York : Walker &amp; Co., 2002.</t>
  </si>
  <si>
    <t>2003-07-28</t>
  </si>
  <si>
    <t>2002-06-27</t>
  </si>
  <si>
    <t>698194:eng</t>
  </si>
  <si>
    <t>48558782</t>
  </si>
  <si>
    <t>991003819379702656</t>
  </si>
  <si>
    <t>2270373040002656</t>
  </si>
  <si>
    <t>9780802713759</t>
  </si>
  <si>
    <t>32285004495916</t>
  </si>
  <si>
    <t>893416835</t>
  </si>
  <si>
    <t>D6 .E75</t>
  </si>
  <si>
    <t>0                      D  0006000E  75</t>
  </si>
  <si>
    <t>Essays in history and political theory in honor of Charles Howard McIlwain.</t>
  </si>
  <si>
    <t>Cambridge, Mass., Harvard university press, 1936.</t>
  </si>
  <si>
    <t>2001-01-08</t>
  </si>
  <si>
    <t>132906867:eng</t>
  </si>
  <si>
    <t>697803</t>
  </si>
  <si>
    <t>991003158539702656</t>
  </si>
  <si>
    <t>2264295850002656</t>
  </si>
  <si>
    <t>32285002286564</t>
  </si>
  <si>
    <t>893774456</t>
  </si>
  <si>
    <t>D6 .R5 v.14</t>
  </si>
  <si>
    <t>0                      D  0006000R  5                                                       v.14</t>
  </si>
  <si>
    <t>Political and social upheaval, 1832-1852, by William L. Langer.</t>
  </si>
  <si>
    <t>v.14*</t>
  </si>
  <si>
    <t>Langer, William L. (William Leonard), 1896-1977.</t>
  </si>
  <si>
    <t>The Rise of modern Europe</t>
  </si>
  <si>
    <t>1998-04-01</t>
  </si>
  <si>
    <t>1992-06-11</t>
  </si>
  <si>
    <t>281614099:eng</t>
  </si>
  <si>
    <t>12731</t>
  </si>
  <si>
    <t>991000004589702656</t>
  </si>
  <si>
    <t>2264912060002656</t>
  </si>
  <si>
    <t>32285001166619</t>
  </si>
  <si>
    <t>893339175</t>
  </si>
  <si>
    <t>D6 .R5 v.19</t>
  </si>
  <si>
    <t>0                      D  0006000R  5                                                       v.19</t>
  </si>
  <si>
    <t>A broken world, 1919-1939, by Raymond J. Sontag.</t>
  </si>
  <si>
    <t>v.19*</t>
  </si>
  <si>
    <t>Sontag, Raymond James, 1897-1972.</t>
  </si>
  <si>
    <t>New York, Harper &amp; Row [1971]</t>
  </si>
  <si>
    <t>1995-12-12</t>
  </si>
  <si>
    <t>1992-05-11</t>
  </si>
  <si>
    <t>352397012:eng</t>
  </si>
  <si>
    <t>162581</t>
  </si>
  <si>
    <t>991000923999702656</t>
  </si>
  <si>
    <t>2268976810002656</t>
  </si>
  <si>
    <t>9780060139544</t>
  </si>
  <si>
    <t>32285001107167</t>
  </si>
  <si>
    <t>893496687</t>
  </si>
  <si>
    <t>D6 .R5 v.2</t>
  </si>
  <si>
    <t>0                      D  0006000R  5                                                       v.2</t>
  </si>
  <si>
    <t>The world of humanism, 1453-1517 / by Myron P. Gilmore.</t>
  </si>
  <si>
    <t>Gilmore, Myron Piper, 1910-1978.</t>
  </si>
  <si>
    <t>New York, Harper [1952]</t>
  </si>
  <si>
    <t>2008-08-31</t>
  </si>
  <si>
    <t>1992-01-14</t>
  </si>
  <si>
    <t>1347181:eng</t>
  </si>
  <si>
    <t>253666</t>
  </si>
  <si>
    <t>991001963159702656</t>
  </si>
  <si>
    <t>2267094800002656</t>
  </si>
  <si>
    <t>32285000914399</t>
  </si>
  <si>
    <t>893262006</t>
  </si>
  <si>
    <t>D6 .R5 v.5</t>
  </si>
  <si>
    <t>0                      D  0006000R  5                                                       v.5</t>
  </si>
  <si>
    <t>The age of the baroque, 1610-1660.</t>
  </si>
  <si>
    <t>V. 5</t>
  </si>
  <si>
    <t>Friedrich, Carl J. (Carl Joachim), 1901-1984.</t>
  </si>
  <si>
    <t>1998-10-26</t>
  </si>
  <si>
    <t>102151402:eng</t>
  </si>
  <si>
    <t>345062</t>
  </si>
  <si>
    <t>991002426649702656</t>
  </si>
  <si>
    <t>2269869660002656</t>
  </si>
  <si>
    <t>32285001166494</t>
  </si>
  <si>
    <t>893867205</t>
  </si>
  <si>
    <t>D6 .R5 v.7</t>
  </si>
  <si>
    <t>0                      D  0006000R  5                                                       v.7</t>
  </si>
  <si>
    <t>The emergence of the great powers, 1685-1715.</t>
  </si>
  <si>
    <t>v.7*</t>
  </si>
  <si>
    <t>Wolf, John B. (John Baptiste), 1907-1996.</t>
  </si>
  <si>
    <t>New York, Harper [1951]</t>
  </si>
  <si>
    <t>150547410:eng</t>
  </si>
  <si>
    <t>183732</t>
  </si>
  <si>
    <t>991001104549702656</t>
  </si>
  <si>
    <t>2267033190002656</t>
  </si>
  <si>
    <t>32285001166510</t>
  </si>
  <si>
    <t>893407853</t>
  </si>
  <si>
    <t>D6 .R5 v.8</t>
  </si>
  <si>
    <t>0                      D  0006000R  5                                                       v.8</t>
  </si>
  <si>
    <t>The quest for security, 1715-1740, by Penfield Roberts.</t>
  </si>
  <si>
    <t>V. 8</t>
  </si>
  <si>
    <t>Roberts, Penfield, 1892-1944.</t>
  </si>
  <si>
    <t>New York, London, Harper &amp; Brothers, 1947.</t>
  </si>
  <si>
    <t>1347199:eng</t>
  </si>
  <si>
    <t>253670</t>
  </si>
  <si>
    <t>991001963219702656</t>
  </si>
  <si>
    <t>2267108890002656</t>
  </si>
  <si>
    <t>32285001166536</t>
  </si>
  <si>
    <t>893891989</t>
  </si>
  <si>
    <t>D602 .B6 1972</t>
  </si>
  <si>
    <t>0                      D  0602000B  6           1972</t>
  </si>
  <si>
    <t>Cavalry of the clouds, by "Contact" (Alan Bott)</t>
  </si>
  <si>
    <t>Bott, Alan, 1893-1952.</t>
  </si>
  <si>
    <t>[New York] Arno Press [1972, c1917]</t>
  </si>
  <si>
    <t>2001-03-28</t>
  </si>
  <si>
    <t>1823649:eng</t>
  </si>
  <si>
    <t>483483</t>
  </si>
  <si>
    <t>991002843329702656</t>
  </si>
  <si>
    <t>2256415670002656</t>
  </si>
  <si>
    <t>9780405037566</t>
  </si>
  <si>
    <t>32285002328515</t>
  </si>
  <si>
    <t>893627329</t>
  </si>
  <si>
    <t>D602 .M35 1972</t>
  </si>
  <si>
    <t>0                      D  0602000M  35          1972</t>
  </si>
  <si>
    <t>Into the blue.</t>
  </si>
  <si>
    <t>Macmillan, Norman, 1896-</t>
  </si>
  <si>
    <t>New York] Arno Press [1972, c1969]</t>
  </si>
  <si>
    <t>[Rev. ed.</t>
  </si>
  <si>
    <t>2000-09-27</t>
  </si>
  <si>
    <t>1165137:eng</t>
  </si>
  <si>
    <t>482144</t>
  </si>
  <si>
    <t>991002840589702656</t>
  </si>
  <si>
    <t>2258927360002656</t>
  </si>
  <si>
    <t>9780405037733</t>
  </si>
  <si>
    <t>32285002328523</t>
  </si>
  <si>
    <t>893323447</t>
  </si>
  <si>
    <t>D606 .H8</t>
  </si>
  <si>
    <t>0                      D  0606000H  8</t>
  </si>
  <si>
    <t>Hostile skies; a combat history of the American Air Service in World War I [by] James J. Hudson.</t>
  </si>
  <si>
    <t>Hudson, James J.</t>
  </si>
  <si>
    <t>Syracuse, N.Y.] Syracuse University Press [1968]</t>
  </si>
  <si>
    <t>[1st ed.</t>
  </si>
  <si>
    <t>2001-03-05</t>
  </si>
  <si>
    <t>1563155:eng</t>
  </si>
  <si>
    <t>439186</t>
  </si>
  <si>
    <t>991002777579702656</t>
  </si>
  <si>
    <t>2267796810002656</t>
  </si>
  <si>
    <t>32285002328614</t>
  </si>
  <si>
    <t>893517732</t>
  </si>
  <si>
    <t>D606.M5 M4 1975</t>
  </si>
  <si>
    <t>0                      D  0606000M  5                  M  4           1975</t>
  </si>
  <si>
    <t>Memoirs of World War I : "from start to finish of our greatest war" / by William Mitchell.</t>
  </si>
  <si>
    <t>Mitchell, William, 1879-1936.</t>
  </si>
  <si>
    <t>Westport, Conn. : Greenwood Press, 1975, c1960.</t>
  </si>
  <si>
    <t>1999-04-25</t>
  </si>
  <si>
    <t>2205713:eng</t>
  </si>
  <si>
    <t>1324331</t>
  </si>
  <si>
    <t>991003693539702656</t>
  </si>
  <si>
    <t>2259586490002656</t>
  </si>
  <si>
    <t>9780837181493</t>
  </si>
  <si>
    <t>32285002328630</t>
  </si>
  <si>
    <t>893617618</t>
  </si>
  <si>
    <t>D610 .M33</t>
  </si>
  <si>
    <t>0                      D  0610000M  33</t>
  </si>
  <si>
    <t>Political origins of the new diplomacy, 1917-1918.</t>
  </si>
  <si>
    <t>Mayer, Arno J.</t>
  </si>
  <si>
    <t>New Haven, Yale University Press, 1959.</t>
  </si>
  <si>
    <t>Yale historical publications. Studies ; 18</t>
  </si>
  <si>
    <t>1214522:eng</t>
  </si>
  <si>
    <t>397313</t>
  </si>
  <si>
    <t>991002677329702656</t>
  </si>
  <si>
    <t>2261648680002656</t>
  </si>
  <si>
    <t>32285002328697</t>
  </si>
  <si>
    <t>893616420</t>
  </si>
  <si>
    <t>D610 .W44 1984</t>
  </si>
  <si>
    <t>0                      D  0610000W  44          1984</t>
  </si>
  <si>
    <t>Colonel House and Sir Edward Grey : a study in Anglo-American diplomacy / Joyce Grigsby Williams.</t>
  </si>
  <si>
    <t>Williams, Joyce G.</t>
  </si>
  <si>
    <t>Lanham : University Press of America, c1984.</t>
  </si>
  <si>
    <t>4079866:eng</t>
  </si>
  <si>
    <t>11234274</t>
  </si>
  <si>
    <t>991000509149702656</t>
  </si>
  <si>
    <t>2257770030002656</t>
  </si>
  <si>
    <t>9780819143570</t>
  </si>
  <si>
    <t>32285000907013</t>
  </si>
  <si>
    <t>893249412</t>
  </si>
  <si>
    <t>D611 .M37 1973</t>
  </si>
  <si>
    <t>0                      D  0611000M  37          1973</t>
  </si>
  <si>
    <t>Peace without victory; Woodrow Wilson and the British liberals [by] Laurence W. Martin.</t>
  </si>
  <si>
    <t>Martin, Laurence W.</t>
  </si>
  <si>
    <t>2002-09-23</t>
  </si>
  <si>
    <t>1499427:eng</t>
  </si>
  <si>
    <t>516481</t>
  </si>
  <si>
    <t>991002900459702656</t>
  </si>
  <si>
    <t>2256527460002656</t>
  </si>
  <si>
    <t>9780804617017</t>
  </si>
  <si>
    <t>32285002328721</t>
  </si>
  <si>
    <t>893348070</t>
  </si>
  <si>
    <t>D613 .L45 1985</t>
  </si>
  <si>
    <t>0                      D  0613000L  45          1985</t>
  </si>
  <si>
    <t>Lloyd George, Woodrow Wilson and the guilt of Germany : an essay in the pre-history of appeasement / A. Lentin.</t>
  </si>
  <si>
    <t>Lentin, A. (Antony)</t>
  </si>
  <si>
    <t>Baton Rouge, La. : Louisiana State University Press, 1985.</t>
  </si>
  <si>
    <t>836633645:eng</t>
  </si>
  <si>
    <t>11920259</t>
  </si>
  <si>
    <t>991000614789702656</t>
  </si>
  <si>
    <t>2266141100002656</t>
  </si>
  <si>
    <t>9780807112311</t>
  </si>
  <si>
    <t>32285000271758</t>
  </si>
  <si>
    <t>893315098</t>
  </si>
  <si>
    <t>D619 .A6495 1991</t>
  </si>
  <si>
    <t>0                      D  0619000A  6495        1991</t>
  </si>
  <si>
    <t>Wilsonian statecraft : theory and practice of liberal internationalism during World War I / Lloyd E. Ambrosius.</t>
  </si>
  <si>
    <t>Ambrosius, Lloyd E.</t>
  </si>
  <si>
    <t>Wilmington, Del. : SR Books, 1991.</t>
  </si>
  <si>
    <t>deu</t>
  </si>
  <si>
    <t>America in the modern world</t>
  </si>
  <si>
    <t>1996-03-07</t>
  </si>
  <si>
    <t>222879690:eng</t>
  </si>
  <si>
    <t>23584683</t>
  </si>
  <si>
    <t>991001870779702656</t>
  </si>
  <si>
    <t>2255293200002656</t>
  </si>
  <si>
    <t>9780842023948</t>
  </si>
  <si>
    <t>32285001039477</t>
  </si>
  <si>
    <t>893809208</t>
  </si>
  <si>
    <t>D619 .B46 1920a</t>
  </si>
  <si>
    <t>0                      D  0619000B  46          1920a</t>
  </si>
  <si>
    <t>My three years in America, by Count Bernstorff.</t>
  </si>
  <si>
    <t>Bernstorff, Johann Heinrich, Graf von, 1862-1939.</t>
  </si>
  <si>
    <t>New York, C. Scribner's sons, 1920.</t>
  </si>
  <si>
    <t>1997-05-21</t>
  </si>
  <si>
    <t>2143687:eng</t>
  </si>
  <si>
    <t>1188583</t>
  </si>
  <si>
    <t>991003607609702656</t>
  </si>
  <si>
    <t>2266150530002656</t>
  </si>
  <si>
    <t>32285002328804</t>
  </si>
  <si>
    <t>893505758</t>
  </si>
  <si>
    <t>D619 .B57</t>
  </si>
  <si>
    <t>0                      D  0619000B  57</t>
  </si>
  <si>
    <t>Historians on the homefront; American propagandists for the great war / [by] George T. Blakey.</t>
  </si>
  <si>
    <t>Blakey, George T.</t>
  </si>
  <si>
    <t>Lexington : University Press of Kentucky, c1970.</t>
  </si>
  <si>
    <t>kyu</t>
  </si>
  <si>
    <t>1994-02-15</t>
  </si>
  <si>
    <t>1990-03-21</t>
  </si>
  <si>
    <t>29165795:eng</t>
  </si>
  <si>
    <t>132498</t>
  </si>
  <si>
    <t>991000775609702656</t>
  </si>
  <si>
    <t>2256996050002656</t>
  </si>
  <si>
    <t>9780813112367</t>
  </si>
  <si>
    <t>32285000089309</t>
  </si>
  <si>
    <t>893714891</t>
  </si>
  <si>
    <t>D619 .D49 1975</t>
  </si>
  <si>
    <t>0                      D  0619000D  49          1975</t>
  </si>
  <si>
    <t>Too proud to fight : Woodrow Wilson's neutrality / Patrick Devlin.</t>
  </si>
  <si>
    <t>Devlin, Patrick, Baron, 1905-1992.</t>
  </si>
  <si>
    <t>New York : Oxford University Press, 1975, c1974.</t>
  </si>
  <si>
    <t>1990-04-25</t>
  </si>
  <si>
    <t>793283461:eng</t>
  </si>
  <si>
    <t>1087451</t>
  </si>
  <si>
    <t>991003525219702656</t>
  </si>
  <si>
    <t>2267077200002656</t>
  </si>
  <si>
    <t>9780192158079</t>
  </si>
  <si>
    <t>32285000118850</t>
  </si>
  <si>
    <t>893441380</t>
  </si>
  <si>
    <t>D619 .D77</t>
  </si>
  <si>
    <t>0                      D  0619000D  77</t>
  </si>
  <si>
    <t>Five days to war, April 2-6, 1917, by Ernest R. Dupuy [i.e. R. Ernest Dupuy.</t>
  </si>
  <si>
    <t>Dupuy, R. Ernest (Richard Ernest), 1887-1975.</t>
  </si>
  <si>
    <t>Harrisburg, Pa.] Stackpole Books [1967]</t>
  </si>
  <si>
    <t>1993-11-11</t>
  </si>
  <si>
    <t>1992-12-05</t>
  </si>
  <si>
    <t>2105091:eng</t>
  </si>
  <si>
    <t>1214692</t>
  </si>
  <si>
    <t>991003624299702656</t>
  </si>
  <si>
    <t>2264921440002656</t>
  </si>
  <si>
    <t>32285001439867</t>
  </si>
  <si>
    <t>893699213</t>
  </si>
  <si>
    <t>D619 .G58</t>
  </si>
  <si>
    <t>0                      D  0619000G  58</t>
  </si>
  <si>
    <t>Six who protested : radical opposition to the First World War / Frederick C. Giffin.</t>
  </si>
  <si>
    <t>Giffin, Frederick C., 1938-</t>
  </si>
  <si>
    <t>Port Washington, N.Y. : Kennikat Press, 1977.</t>
  </si>
  <si>
    <t>National university publications</t>
  </si>
  <si>
    <t>459035:eng</t>
  </si>
  <si>
    <t>2929675</t>
  </si>
  <si>
    <t>991004287459702656</t>
  </si>
  <si>
    <t>2267668370002656</t>
  </si>
  <si>
    <t>9780804691932</t>
  </si>
  <si>
    <t>32285002328853</t>
  </si>
  <si>
    <t>893693755</t>
  </si>
  <si>
    <t>D619 .G67</t>
  </si>
  <si>
    <t>0                      D  0619000G  67</t>
  </si>
  <si>
    <t>Russian-American relations in World War I / Benson Lee Grayson.</t>
  </si>
  <si>
    <t>Grayson, Benson Lee, 1932-</t>
  </si>
  <si>
    <t>New York : Ungar, c1979.</t>
  </si>
  <si>
    <t>2006-11-22</t>
  </si>
  <si>
    <t>14777417:eng</t>
  </si>
  <si>
    <t>4497138</t>
  </si>
  <si>
    <t>991004661579702656</t>
  </si>
  <si>
    <t>2266962470002656</t>
  </si>
  <si>
    <t>9780804413091</t>
  </si>
  <si>
    <t>32285000271774</t>
  </si>
  <si>
    <t>893260016</t>
  </si>
  <si>
    <t>D619 .G73 1971</t>
  </si>
  <si>
    <t>0                      D  0619000G  73          1971</t>
  </si>
  <si>
    <t>The origins of American intervention in the First World War.</t>
  </si>
  <si>
    <t>Gregory, Ross.</t>
  </si>
  <si>
    <t>New York : Norton, [1971]</t>
  </si>
  <si>
    <t>The Norton essays in American history</t>
  </si>
  <si>
    <t>2001-11-14</t>
  </si>
  <si>
    <t>460685:eng</t>
  </si>
  <si>
    <t>221173</t>
  </si>
  <si>
    <t>991001335669702656</t>
  </si>
  <si>
    <t>2258263760002656</t>
  </si>
  <si>
    <t>9780393054385</t>
  </si>
  <si>
    <t>32285001767796</t>
  </si>
  <si>
    <t>893602523</t>
  </si>
  <si>
    <t>D619 .L347 1935</t>
  </si>
  <si>
    <t>0                      D  0619000L  347         1935</t>
  </si>
  <si>
    <t>War memoirs of Robert Lansing, Secretary of State.</t>
  </si>
  <si>
    <t>Lansing, Robert, 1864-1928.</t>
  </si>
  <si>
    <t>Indianapolis : Bobbs-Merrill, c1935.</t>
  </si>
  <si>
    <t>1935</t>
  </si>
  <si>
    <t>1999-02-13</t>
  </si>
  <si>
    <t>3901021623:eng</t>
  </si>
  <si>
    <t>1034569</t>
  </si>
  <si>
    <t>991003487079702656</t>
  </si>
  <si>
    <t>2266715260002656</t>
  </si>
  <si>
    <t>32285002328861</t>
  </si>
  <si>
    <t>893799772</t>
  </si>
  <si>
    <t>D619 .M33 1957</t>
  </si>
  <si>
    <t>0                      D  0619000M  33          1957</t>
  </si>
  <si>
    <t>The United States and east central Europe, 1914-1918 : a study in Wilsonian diplomacy and propaganda / by Victor S. Mamatey.</t>
  </si>
  <si>
    <t>Mamatey, Victor S.</t>
  </si>
  <si>
    <t>Princeton, N.J. : Princeton University Press, c1957.</t>
  </si>
  <si>
    <t>458639:eng</t>
  </si>
  <si>
    <t>394690</t>
  </si>
  <si>
    <t>991002669719702656</t>
  </si>
  <si>
    <t>2260068420002656</t>
  </si>
  <si>
    <t>32285001188589</t>
  </si>
  <si>
    <t>893685640</t>
  </si>
  <si>
    <t>D619 .M383</t>
  </si>
  <si>
    <t>0                      D  0619000M  383</t>
  </si>
  <si>
    <t>The World War and American isolation, 1914-1917.</t>
  </si>
  <si>
    <t>May, Ernest R.</t>
  </si>
  <si>
    <t>Cambridge : Harvard University Press, 1959.</t>
  </si>
  <si>
    <t>Harvard historical studies ; v. 71</t>
  </si>
  <si>
    <t>1991-04-08</t>
  </si>
  <si>
    <t>1532749:eng</t>
  </si>
  <si>
    <t>394559</t>
  </si>
  <si>
    <t>991002669339702656</t>
  </si>
  <si>
    <t>2260130560002656</t>
  </si>
  <si>
    <t>32285000550466</t>
  </si>
  <si>
    <t>893347776</t>
  </si>
  <si>
    <t>D619 .M47</t>
  </si>
  <si>
    <t>0                      D  0619000M  47</t>
  </si>
  <si>
    <t>Road to war : America, 1914-1917 / by Walter Millis.</t>
  </si>
  <si>
    <t>Millis, Walter, 1899-1968.</t>
  </si>
  <si>
    <t>Boston ; New York : Houghton Mifflin company, 1935.</t>
  </si>
  <si>
    <t>1993-02-28</t>
  </si>
  <si>
    <t>1536175:eng</t>
  </si>
  <si>
    <t>394545</t>
  </si>
  <si>
    <t>991002669219702656</t>
  </si>
  <si>
    <t>2260131630002656</t>
  </si>
  <si>
    <t>32285000550474</t>
  </si>
  <si>
    <t>893227137</t>
  </si>
  <si>
    <t>D619 .P33</t>
  </si>
  <si>
    <t>0                      D  0619000P  33</t>
  </si>
  <si>
    <t>Wilsonian diplomacy : Allied-American rivalries in war and peace / Edward B. Parsons.</t>
  </si>
  <si>
    <t>Parsons, Edward B.</t>
  </si>
  <si>
    <t>St. Louis : Forum Press, c1978.</t>
  </si>
  <si>
    <t>mou</t>
  </si>
  <si>
    <t>542350:eng</t>
  </si>
  <si>
    <t>3831415</t>
  </si>
  <si>
    <t>991004523099702656</t>
  </si>
  <si>
    <t>2271461460002656</t>
  </si>
  <si>
    <t>9780882730066</t>
  </si>
  <si>
    <t>32285001188605</t>
  </si>
  <si>
    <t>893417731</t>
  </si>
  <si>
    <t>D619 .P42 1966</t>
  </si>
  <si>
    <t>0                      D  0619000P  42          1966</t>
  </si>
  <si>
    <t>American democracy and the world war / Frederic L. Paxson.</t>
  </si>
  <si>
    <t>Paxson, Frederic L. (Frederic Logan), 1877-1948.</t>
  </si>
  <si>
    <t>New York : Cooper Square, 1966.</t>
  </si>
  <si>
    <t>2863995909:eng</t>
  </si>
  <si>
    <t>1746831</t>
  </si>
  <si>
    <t>991003888969702656</t>
  </si>
  <si>
    <t>2262035440002656</t>
  </si>
  <si>
    <t>32285002328887</t>
  </si>
  <si>
    <t>893252945</t>
  </si>
  <si>
    <t>32285002328879</t>
  </si>
  <si>
    <t>893259012</t>
  </si>
  <si>
    <t>32285002328895</t>
  </si>
  <si>
    <t>893240716</t>
  </si>
  <si>
    <t>D619 .P47 1939</t>
  </si>
  <si>
    <t>0                      D  0619000P  47          1939</t>
  </si>
  <si>
    <t>Propaganda for war : the campaign against American neutrality, 1914-1917 / by H.C. Peterson.</t>
  </si>
  <si>
    <t>Peterson, H. C. (Horace Cornelius), 1902-1952.</t>
  </si>
  <si>
    <t>Norman : University of Oklahoma Press, 1939.</t>
  </si>
  <si>
    <t>1994-02-17</t>
  </si>
  <si>
    <t>150946531:eng</t>
  </si>
  <si>
    <t>394551</t>
  </si>
  <si>
    <t>991002669239702656</t>
  </si>
  <si>
    <t>2260130080002656</t>
  </si>
  <si>
    <t>32285001838944</t>
  </si>
  <si>
    <t>893591633</t>
  </si>
  <si>
    <t>D619 .R275</t>
  </si>
  <si>
    <t>0                      D  0619000R  275</t>
  </si>
  <si>
    <t>The British press and Wilsonian neutrality.</t>
  </si>
  <si>
    <t>Rappaport, Armin.</t>
  </si>
  <si>
    <t>Stanford, Calif. : Stanford University Press, 1951.</t>
  </si>
  <si>
    <t>Stanford University publications. University series. History, economics, and political science, v.7, no.1</t>
  </si>
  <si>
    <t>2000-02-16</t>
  </si>
  <si>
    <t>1992-11-18</t>
  </si>
  <si>
    <t>1448624:eng</t>
  </si>
  <si>
    <t>2475521</t>
  </si>
  <si>
    <t>991005369809702656</t>
  </si>
  <si>
    <t>2269368810002656</t>
  </si>
  <si>
    <t>32285001406080</t>
  </si>
  <si>
    <t>893230599</t>
  </si>
  <si>
    <t>D619 .R53</t>
  </si>
  <si>
    <t>0                      D  0619000R  53</t>
  </si>
  <si>
    <t>American liberal disillusionment : in the wake of World War I / Stuart I. Rochester.</t>
  </si>
  <si>
    <t>Rochester, Stuart I., 1945-</t>
  </si>
  <si>
    <t>University Park : Pennsylvania State University Press, c1977.</t>
  </si>
  <si>
    <t>1999-10-19</t>
  </si>
  <si>
    <t>118138323:eng</t>
  </si>
  <si>
    <t>2598190</t>
  </si>
  <si>
    <t>991004178239702656</t>
  </si>
  <si>
    <t>2265908250002656</t>
  </si>
  <si>
    <t>9780271012339</t>
  </si>
  <si>
    <t>32285001188613</t>
  </si>
  <si>
    <t>893253345</t>
  </si>
  <si>
    <t>D619 .R57 1917</t>
  </si>
  <si>
    <t>0                      D  0619000R  57          1917</t>
  </si>
  <si>
    <t>America's case against Germany / by Lindsay Rogers.</t>
  </si>
  <si>
    <t>Rogers, Lindsay, 1891-1970.</t>
  </si>
  <si>
    <t>New York : E.P. Dutton &amp; Company, [c1917]</t>
  </si>
  <si>
    <t>1668181:eng</t>
  </si>
  <si>
    <t>769012</t>
  </si>
  <si>
    <t>991003245329702656</t>
  </si>
  <si>
    <t>2270637420002656</t>
  </si>
  <si>
    <t>32285000020049</t>
  </si>
  <si>
    <t>893893523</t>
  </si>
  <si>
    <t>D619 .S43 1964</t>
  </si>
  <si>
    <t>0                      D  0619000S  43          1964</t>
  </si>
  <si>
    <t>American diplomacy during the World War.</t>
  </si>
  <si>
    <t>Seymour, Charles, 1885-1963.</t>
  </si>
  <si>
    <t>Hamden, Conn. : Archon Books, 1964 [c1934]</t>
  </si>
  <si>
    <t>The Albert Shaw lectures on diplomatic history, 1933</t>
  </si>
  <si>
    <t>1535545:eng</t>
  </si>
  <si>
    <t>394323</t>
  </si>
  <si>
    <t>991002668469702656</t>
  </si>
  <si>
    <t>2260095530002656</t>
  </si>
  <si>
    <t>32285000550482</t>
  </si>
  <si>
    <t>893233252</t>
  </si>
  <si>
    <t>D619 .S435</t>
  </si>
  <si>
    <t>0                      D  0619000S  435</t>
  </si>
  <si>
    <t>American neutrality, 1914-1917 : essays on the causes of American intervention in the world war / by Charles Seymour.</t>
  </si>
  <si>
    <t>New Haven : Yale University Press ; London : H. Milford, Oxford University Press, 1935.</t>
  </si>
  <si>
    <t>1993-04-07</t>
  </si>
  <si>
    <t>1535513:eng</t>
  </si>
  <si>
    <t>394312</t>
  </si>
  <si>
    <t>991002668389702656</t>
  </si>
  <si>
    <t>2260096350002656</t>
  </si>
  <si>
    <t>32285001603702</t>
  </si>
  <si>
    <t>893329384</t>
  </si>
  <si>
    <t>D62 .S45 1998</t>
  </si>
  <si>
    <t>0                      D  0062000S  45          1998</t>
  </si>
  <si>
    <t>The origins of the Europeans : classical observations in culture and personality / William Scott Shelley.</t>
  </si>
  <si>
    <t>Shelley, William Scott.</t>
  </si>
  <si>
    <t>San Francisco : International Scholars Publications, 1998.</t>
  </si>
  <si>
    <t>1998-08-04</t>
  </si>
  <si>
    <t>685361:eng</t>
  </si>
  <si>
    <t>37721282</t>
  </si>
  <si>
    <t>991002861899702656</t>
  </si>
  <si>
    <t>2257832350002656</t>
  </si>
  <si>
    <t>9781573092203</t>
  </si>
  <si>
    <t>32285003448700</t>
  </si>
  <si>
    <t>893257811</t>
  </si>
  <si>
    <t>D620 .C45 1970</t>
  </si>
  <si>
    <t>0                      D  0620000C  45          1970</t>
  </si>
  <si>
    <t>The German-Americans in politics [by] Clifton J. Child.</t>
  </si>
  <si>
    <t>Child, Clifton James.</t>
  </si>
  <si>
    <t>New York, Arno Press, 1970 [c1939]</t>
  </si>
  <si>
    <t>The American immigration collection. Series II</t>
  </si>
  <si>
    <t>1996-10-22</t>
  </si>
  <si>
    <t>1498868:eng</t>
  </si>
  <si>
    <t>105372</t>
  </si>
  <si>
    <t>991000629179702656</t>
  </si>
  <si>
    <t>2263117760002656</t>
  </si>
  <si>
    <t>9780405005497</t>
  </si>
  <si>
    <t>32285002328937</t>
  </si>
  <si>
    <t>893689881</t>
  </si>
  <si>
    <t>D620 .L83</t>
  </si>
  <si>
    <t>0                      D  0620000L  83</t>
  </si>
  <si>
    <t>Bonds of loyalty : German-Americans and World War I / [by] Frederick C. Luebke.</t>
  </si>
  <si>
    <t>Luebke, Frederick C., 1927-</t>
  </si>
  <si>
    <t>Dekalb : Northern Illinois University Press, [1974]</t>
  </si>
  <si>
    <t>Minorities in American history</t>
  </si>
  <si>
    <t>1999-03-02</t>
  </si>
  <si>
    <t>146245081:eng</t>
  </si>
  <si>
    <t>865969</t>
  </si>
  <si>
    <t>991003334239702656</t>
  </si>
  <si>
    <t>2264636490002656</t>
  </si>
  <si>
    <t>9780875800455</t>
  </si>
  <si>
    <t>32285000157155</t>
  </si>
  <si>
    <t>893535438</t>
  </si>
  <si>
    <t>D621.F8 S75</t>
  </si>
  <si>
    <t>0                      D  0621000F  8                  S  75</t>
  </si>
  <si>
    <t>French war aims against Germany, 1914-1919 / D. Stevenson.</t>
  </si>
  <si>
    <t>Oxford : Clarendon Press ; New York : Oxford University Press, 1982.</t>
  </si>
  <si>
    <t>416028:eng</t>
  </si>
  <si>
    <t>8170511</t>
  </si>
  <si>
    <t>991005212509702656</t>
  </si>
  <si>
    <t>2256437820002656</t>
  </si>
  <si>
    <t>9780198225744</t>
  </si>
  <si>
    <t>32285000271782</t>
  </si>
  <si>
    <t>893795790</t>
  </si>
  <si>
    <t>D621.J3 D53 1999</t>
  </si>
  <si>
    <t>0                      D  0621000J  3                  D  53          1999</t>
  </si>
  <si>
    <t>War and national reinvention : Japan in the Great War, 1914-1919 / Frederick R. Dickinson.</t>
  </si>
  <si>
    <t>Dickinson, Frederick R., 1961-</t>
  </si>
  <si>
    <t>Cambridge, Mass. : Harvard University Asia Center : Distributed by Harvard University Press, 1999.</t>
  </si>
  <si>
    <t>Harvard East Asian monographs ; 177</t>
  </si>
  <si>
    <t>2001-08-02</t>
  </si>
  <si>
    <t>227637668:eng</t>
  </si>
  <si>
    <t>41018824</t>
  </si>
  <si>
    <t>991003509829702656</t>
  </si>
  <si>
    <t>2269793080002656</t>
  </si>
  <si>
    <t>9780674946552</t>
  </si>
  <si>
    <t>32285004375605</t>
  </si>
  <si>
    <t>893512019</t>
  </si>
  <si>
    <t>D622 .E6</t>
  </si>
  <si>
    <t>0                      D  0622000E  6</t>
  </si>
  <si>
    <t>The Knights of Columbus in peace and war, by Maurice Francis Egan and John B. Kennedy.</t>
  </si>
  <si>
    <t>Egan, Maurice Francis, 1852-1924.</t>
  </si>
  <si>
    <t>New Haven, Conn., Knights of Columbus [c1920]</t>
  </si>
  <si>
    <t>2003-04-25</t>
  </si>
  <si>
    <t>1891712:eng</t>
  </si>
  <si>
    <t>950719</t>
  </si>
  <si>
    <t>991003412399702656</t>
  </si>
  <si>
    <t>2262357620002656</t>
  </si>
  <si>
    <t>32285002328978</t>
  </si>
  <si>
    <t>893598560</t>
  </si>
  <si>
    <t>32285002328960</t>
  </si>
  <si>
    <t>893627577</t>
  </si>
  <si>
    <t>D622 .W5</t>
  </si>
  <si>
    <t>0                      D  0622000W  5</t>
  </si>
  <si>
    <t>American Catholics in the war : National Catholic war council, 1917-1921 / by Michael Williams.</t>
  </si>
  <si>
    <t>Williams, Michael, 1878-1950.</t>
  </si>
  <si>
    <t>New York : Macmillan, 1921.</t>
  </si>
  <si>
    <t>2001-07-26</t>
  </si>
  <si>
    <t>287778309:eng</t>
  </si>
  <si>
    <t>1188944</t>
  </si>
  <si>
    <t>991003607909702656</t>
  </si>
  <si>
    <t>2266095580002656</t>
  </si>
  <si>
    <t>32285002329026</t>
  </si>
  <si>
    <t>893258622</t>
  </si>
  <si>
    <t>D629.U6 D25</t>
  </si>
  <si>
    <t>0                      D  0629000U  6                  D  25</t>
  </si>
  <si>
    <t>The American Red Cross in the great war / by Henry P. Davison.</t>
  </si>
  <si>
    <t>Davison, Henry Pomeroy, 1867-1922.</t>
  </si>
  <si>
    <t>New York : Macmillan, 1919.</t>
  </si>
  <si>
    <t>1993-05-11</t>
  </si>
  <si>
    <t>1606216:eng</t>
  </si>
  <si>
    <t>753716</t>
  </si>
  <si>
    <t>991003228619702656</t>
  </si>
  <si>
    <t>2270503470002656</t>
  </si>
  <si>
    <t>32285001582070</t>
  </si>
  <si>
    <t>893252167</t>
  </si>
  <si>
    <t>D633 .M3 1965</t>
  </si>
  <si>
    <t>0                      D  0633000M  3           1965</t>
  </si>
  <si>
    <t>Die baltishen Lan̈der in der deutschen Kriegazielpublizistik, 1914-1918 / Bernhard Mann.</t>
  </si>
  <si>
    <t>Mann, Bernhard.</t>
  </si>
  <si>
    <t>Tub̈ingen : Mohr, 1965.</t>
  </si>
  <si>
    <t>Tübinger Studien zur Geschichte und Politik ; Nr. 19</t>
  </si>
  <si>
    <t>3901244471:ger</t>
  </si>
  <si>
    <t>1903801</t>
  </si>
  <si>
    <t>991003603259702656</t>
  </si>
  <si>
    <t>2258535670002656</t>
  </si>
  <si>
    <t>32285004376876</t>
  </si>
  <si>
    <t>893722005</t>
  </si>
  <si>
    <t>D635 .H3</t>
  </si>
  <si>
    <t>0                      D  0635000H  3</t>
  </si>
  <si>
    <t>The First World War, 1914-1918 / Gerd Hardach.</t>
  </si>
  <si>
    <t>Hardach, Gerd, 1941-</t>
  </si>
  <si>
    <t>Berkeley : University of California Press, c1977.</t>
  </si>
  <si>
    <t>History of the world economy in the twentieth century ; 2</t>
  </si>
  <si>
    <t>1996-04-30</t>
  </si>
  <si>
    <t>501238:eng</t>
  </si>
  <si>
    <t>3154197</t>
  </si>
  <si>
    <t>991004358519702656</t>
  </si>
  <si>
    <t>2263885500002656</t>
  </si>
  <si>
    <t>9780520030602</t>
  </si>
  <si>
    <t>32285000253962</t>
  </si>
  <si>
    <t>893712494</t>
  </si>
  <si>
    <t>D639.N4 S8 1969</t>
  </si>
  <si>
    <t>0                      D  0639000N  4                  S  8           1969</t>
  </si>
  <si>
    <t>History of the American Negro in the Great World War; his splendid record in the battle zones of Europe ...</t>
  </si>
  <si>
    <t>Sweeney, William Allison, 1851-</t>
  </si>
  <si>
    <t>New York, Negro Universities Press [1969]</t>
  </si>
  <si>
    <t>2863396848:eng</t>
  </si>
  <si>
    <t>136608</t>
  </si>
  <si>
    <t>991000794649702656</t>
  </si>
  <si>
    <t>2263975160002656</t>
  </si>
  <si>
    <t>9780837121994</t>
  </si>
  <si>
    <t>32285002329174</t>
  </si>
  <si>
    <t>893878363</t>
  </si>
  <si>
    <t>D639.P6 B7 1972</t>
  </si>
  <si>
    <t>0                      D  0639000P  6                  B  7           1972</t>
  </si>
  <si>
    <t>Allied propaganda and the collapse of the German Empire in 1918, by George G. Bruntz.</t>
  </si>
  <si>
    <t>Bruntz, George G.</t>
  </si>
  <si>
    <t>New York, Arno Press, 1972 [c1938]</t>
  </si>
  <si>
    <t>International propaganda and communications</t>
  </si>
  <si>
    <t>476579:eng</t>
  </si>
  <si>
    <t>388563</t>
  </si>
  <si>
    <t>991005355089702656</t>
  </si>
  <si>
    <t>2254838500002656</t>
  </si>
  <si>
    <t>9780405047411</t>
  </si>
  <si>
    <t>32285002329190</t>
  </si>
  <si>
    <t>893808244</t>
  </si>
  <si>
    <t>D639.P6 R63 1974</t>
  </si>
  <si>
    <t>0                      D  0639000P  6                  R  63          1974</t>
  </si>
  <si>
    <t>The art of psychological warfare, 1914-1945 / Charles Roetter.</t>
  </si>
  <si>
    <t>Roetter, Charles.</t>
  </si>
  <si>
    <t>New York : Stein and Day, 1974.</t>
  </si>
  <si>
    <t>2003-10-29</t>
  </si>
  <si>
    <t>1806176756:eng</t>
  </si>
  <si>
    <t>1192393</t>
  </si>
  <si>
    <t>991003609999702656</t>
  </si>
  <si>
    <t>2261817390002656</t>
  </si>
  <si>
    <t>9780812817379</t>
  </si>
  <si>
    <t>32285002329216</t>
  </si>
  <si>
    <t>893874956</t>
  </si>
  <si>
    <t>D639.P6 S26 1982</t>
  </si>
  <si>
    <t>0                      D  0639000P  6                  S  26          1982</t>
  </si>
  <si>
    <t>British propaganda during the First World War, 1914-18 / M. L. Sanders and Philip M. Taylor.</t>
  </si>
  <si>
    <t>Sanders, Michael, 1945-</t>
  </si>
  <si>
    <t>London : Macmillan, 1982.</t>
  </si>
  <si>
    <t>xxk</t>
  </si>
  <si>
    <t>1992-07-13</t>
  </si>
  <si>
    <t>43018592:eng</t>
  </si>
  <si>
    <t>9444844</t>
  </si>
  <si>
    <t>991005402369702656</t>
  </si>
  <si>
    <t>2263193060002656</t>
  </si>
  <si>
    <t>9780333292754</t>
  </si>
  <si>
    <t>32285001188746</t>
  </si>
  <si>
    <t>893613648</t>
  </si>
  <si>
    <t>D639.R4 P57 1985</t>
  </si>
  <si>
    <t>0                      D  0639000R  4                  P  57          1985</t>
  </si>
  <si>
    <t>The American churches in World War I / John F. Piper, Jr.</t>
  </si>
  <si>
    <t>Piper, John F., 1936-</t>
  </si>
  <si>
    <t>Athens, Ohio : Ohio University Press, c1985.</t>
  </si>
  <si>
    <t>1992-04-27</t>
  </si>
  <si>
    <t>4634724:eng</t>
  </si>
  <si>
    <t>11785490</t>
  </si>
  <si>
    <t>991000591649702656</t>
  </si>
  <si>
    <t>2255814130002656</t>
  </si>
  <si>
    <t>9780821408018</t>
  </si>
  <si>
    <t>32285000056969</t>
  </si>
  <si>
    <t>893534226</t>
  </si>
  <si>
    <t>D639.S2 H37 1988</t>
  </si>
  <si>
    <t>0                      D  0639000S  2                  H  37          1988</t>
  </si>
  <si>
    <t>The war of invention : scientific developments, 1914-18 / by Guy Hartcup.</t>
  </si>
  <si>
    <t>Hartcup, Guy.</t>
  </si>
  <si>
    <t>London ; Washington : Brassey's Defence Publishers, 1988.</t>
  </si>
  <si>
    <t>196721104:eng</t>
  </si>
  <si>
    <t>16756159</t>
  </si>
  <si>
    <t>991001143779702656</t>
  </si>
  <si>
    <t>2260919760002656</t>
  </si>
  <si>
    <t>9780080335919</t>
  </si>
  <si>
    <t>32285000271808</t>
  </si>
  <si>
    <t>893784863</t>
  </si>
  <si>
    <t>D639.S6 L813 1969</t>
  </si>
  <si>
    <t>0                      D  0639000S  6                  L  813         1969</t>
  </si>
  <si>
    <t>The crisis in the German social-democracy.</t>
  </si>
  <si>
    <t>Luxemburg, Rosa, 1871-1919.</t>
  </si>
  <si>
    <t>New York, H. Fertig, 1969.</t>
  </si>
  <si>
    <t>3902732877:eng</t>
  </si>
  <si>
    <t>757</t>
  </si>
  <si>
    <t>991005431789702656</t>
  </si>
  <si>
    <t>2272669350002656</t>
  </si>
  <si>
    <t>32285002329232</t>
  </si>
  <si>
    <t>893418945</t>
  </si>
  <si>
    <t>D643.A7 B28</t>
  </si>
  <si>
    <t>0                      D  0643000A  7                  B  28</t>
  </si>
  <si>
    <t>Woodrow Wilson and the great betrayal, by Thomas A. Bailey.</t>
  </si>
  <si>
    <t>Bailey, Thomas Andrew, 1902-1983.</t>
  </si>
  <si>
    <t>New York, The Macmillan company, 1945.</t>
  </si>
  <si>
    <t>65356151:eng</t>
  </si>
  <si>
    <t>1199971</t>
  </si>
  <si>
    <t>991003615789702656</t>
  </si>
  <si>
    <t>2267770370002656</t>
  </si>
  <si>
    <t>32285002329455</t>
  </si>
  <si>
    <t>893692930</t>
  </si>
  <si>
    <t>D643.A7 B5 1962</t>
  </si>
  <si>
    <t>0                      D  0643000A  7                  B  5           1962</t>
  </si>
  <si>
    <t>Versailles twenty years after / by Paul Birdsall.</t>
  </si>
  <si>
    <t>Birdsall, Paul.</t>
  </si>
  <si>
    <t>Hamden, Conn. : Archon Books, 1962 [c1941]</t>
  </si>
  <si>
    <t>1996-05-01</t>
  </si>
  <si>
    <t>1992-03-01</t>
  </si>
  <si>
    <t>1530737:eng</t>
  </si>
  <si>
    <t>392999</t>
  </si>
  <si>
    <t>991002665379702656</t>
  </si>
  <si>
    <t>2263335120002656</t>
  </si>
  <si>
    <t>32285000937317</t>
  </si>
  <si>
    <t>893421645</t>
  </si>
  <si>
    <t>D643.A7 C9</t>
  </si>
  <si>
    <t>0                      D  0643000A  7                  C  9</t>
  </si>
  <si>
    <t>Versailles, 1919 : the forces, events, and personalities that shaped the treaty / by Ferdinand Czernin.</t>
  </si>
  <si>
    <t>Czernin, Ferdinand, 1903-</t>
  </si>
  <si>
    <t>1996-11-14</t>
  </si>
  <si>
    <t>1655567:eng</t>
  </si>
  <si>
    <t>711041</t>
  </si>
  <si>
    <t>991003177469702656</t>
  </si>
  <si>
    <t>2264070310002656</t>
  </si>
  <si>
    <t>32285001825677</t>
  </si>
  <si>
    <t>893868166</t>
  </si>
  <si>
    <t>D644 .L55 1939</t>
  </si>
  <si>
    <t>0                      D  0644000L  55          1939</t>
  </si>
  <si>
    <t>Memoirs of the Peace conference, by David Lloyd George.</t>
  </si>
  <si>
    <t>Lloyd George, David, 1863-1945.</t>
  </si>
  <si>
    <t>New Haven, Yale University Press, 1939.</t>
  </si>
  <si>
    <t>1478861:eng</t>
  </si>
  <si>
    <t>568906</t>
  </si>
  <si>
    <t>991003001119702656</t>
  </si>
  <si>
    <t>2259616570002656</t>
  </si>
  <si>
    <t>32285002329554</t>
  </si>
  <si>
    <t>893616878</t>
  </si>
  <si>
    <t>32285002329562</t>
  </si>
  <si>
    <t>893604324</t>
  </si>
  <si>
    <t>D644 .N6</t>
  </si>
  <si>
    <t>0                      D  0644000N  6</t>
  </si>
  <si>
    <t>Policies and opinions at Paris, 1919 : Wilsonian diplomacy, the Versailles peace, and French public opinion / by George Bernard Noble.</t>
  </si>
  <si>
    <t>Noble, George Bernard, 1892-1972.</t>
  </si>
  <si>
    <t>New York : The Macmillan Company, 1935.</t>
  </si>
  <si>
    <t>1993-11-29</t>
  </si>
  <si>
    <t>1408237:eng</t>
  </si>
  <si>
    <t>1165275</t>
  </si>
  <si>
    <t>991003584919702656</t>
  </si>
  <si>
    <t>2264757900002656</t>
  </si>
  <si>
    <t>32285001688703</t>
  </si>
  <si>
    <t>893524987</t>
  </si>
  <si>
    <t>D644 .S478 1991</t>
  </si>
  <si>
    <t>0                      D  0644000S  478         1991</t>
  </si>
  <si>
    <t>The Versailles settlement : peacemaking in Paris, 1919 / Alan Sharp.</t>
  </si>
  <si>
    <t>Sharp, Alan, 1943-</t>
  </si>
  <si>
    <t>New York : St. Martin's Press, 1991.</t>
  </si>
  <si>
    <t>The Making of the 20th century</t>
  </si>
  <si>
    <t>1993-05-06</t>
  </si>
  <si>
    <t>890281796:eng</t>
  </si>
  <si>
    <t>22731179</t>
  </si>
  <si>
    <t>991001808409702656</t>
  </si>
  <si>
    <t>2270757700002656</t>
  </si>
  <si>
    <t>9780312060497</t>
  </si>
  <si>
    <t>32285001580850</t>
  </si>
  <si>
    <t>893444816</t>
  </si>
  <si>
    <t>D644 .T3</t>
  </si>
  <si>
    <t>0                      D  0644000T  3</t>
  </si>
  <si>
    <t>The truth about the Treaty / by André Tardieu ; foreword by Edward M. House ; introduction by Georges Clemenceau.</t>
  </si>
  <si>
    <t>Tardieu, André, 1876-1945.</t>
  </si>
  <si>
    <t>Indianapolis : Bobbs-Merrill, c1921.</t>
  </si>
  <si>
    <t>2499989:eng</t>
  </si>
  <si>
    <t>1597495</t>
  </si>
  <si>
    <t>991003833749702656</t>
  </si>
  <si>
    <t>2272245530002656</t>
  </si>
  <si>
    <t>32285001688711</t>
  </si>
  <si>
    <t>893416851</t>
  </si>
  <si>
    <t>D645 .J67 1971</t>
  </si>
  <si>
    <t>0                      D  0645000J  67          1971</t>
  </si>
  <si>
    <t>Great Britain, France, and the German problem, 1918-1939 : a study of Anglo-French relations in the making and maintenance of the Versailles settlement / by W. M. Jordan.</t>
  </si>
  <si>
    <t>Jordan, W. M.</t>
  </si>
  <si>
    <t>[London] : F. Cass, [1971, c1943]</t>
  </si>
  <si>
    <t>1992-02-25</t>
  </si>
  <si>
    <t>1364538:eng</t>
  </si>
  <si>
    <t>308664</t>
  </si>
  <si>
    <t>991002272299702656</t>
  </si>
  <si>
    <t>2266219940002656</t>
  </si>
  <si>
    <t>9780714626444</t>
  </si>
  <si>
    <t>32285000975283</t>
  </si>
  <si>
    <t>893408901</t>
  </si>
  <si>
    <t>D645 .W34 1986</t>
  </si>
  <si>
    <t>0                      D  0645000W  34          1986</t>
  </si>
  <si>
    <t>Wilson and his peacemakers : American diplomacy at the Paris Peace Conference, 1919 / Arthur Walworth.</t>
  </si>
  <si>
    <t>Walworth, Arthur, 1903-2005.</t>
  </si>
  <si>
    <t>New York : Norton, c1986.</t>
  </si>
  <si>
    <t>1993-12-07</t>
  </si>
  <si>
    <t>1990-04-02</t>
  </si>
  <si>
    <t>3347129:eng</t>
  </si>
  <si>
    <t>10021060</t>
  </si>
  <si>
    <t>991000299949702656</t>
  </si>
  <si>
    <t>2266648880002656</t>
  </si>
  <si>
    <t>9780393018677</t>
  </si>
  <si>
    <t>32285000107796</t>
  </si>
  <si>
    <t>893695742</t>
  </si>
  <si>
    <t>D648 .B8 1965</t>
  </si>
  <si>
    <t>0                      D  0648000B  8           1965</t>
  </si>
  <si>
    <t>Reparation at the Paris Peace Conference from the standpoint of the American delegation.</t>
  </si>
  <si>
    <t>Burnett, Philip Mason, 1908-2003.</t>
  </si>
  <si>
    <t>New York, Octagon Books, 1965 [c1940]</t>
  </si>
  <si>
    <t>The Paris Peace Conference, history and documents</t>
  </si>
  <si>
    <t>1346601:eng</t>
  </si>
  <si>
    <t>253494</t>
  </si>
  <si>
    <t>991001961229702656</t>
  </si>
  <si>
    <t>2267225080002656</t>
  </si>
  <si>
    <t>32285002329729</t>
  </si>
  <si>
    <t>893798000</t>
  </si>
  <si>
    <t>32285002329711</t>
  </si>
  <si>
    <t>893773063</t>
  </si>
  <si>
    <t>D648 .T72</t>
  </si>
  <si>
    <t>0                      D  0648000T  72</t>
  </si>
  <si>
    <t>Reparation in world politics : France and European economic diplomacy, 1916-1923 / Marc Trachtenberg.</t>
  </si>
  <si>
    <t>Trachtenberg, Marc, 1946-</t>
  </si>
  <si>
    <t>New York : Columbia University Press, 1980.</t>
  </si>
  <si>
    <t>855170498:eng</t>
  </si>
  <si>
    <t>5831020</t>
  </si>
  <si>
    <t>991004884599702656</t>
  </si>
  <si>
    <t>2263166310002656</t>
  </si>
  <si>
    <t>9780231047869</t>
  </si>
  <si>
    <t>32285000271816</t>
  </si>
  <si>
    <t>893507332</t>
  </si>
  <si>
    <t>D649.G3 F4</t>
  </si>
  <si>
    <t>0                      D  0649000G  3                  F  4</t>
  </si>
  <si>
    <t>Walther Rathenau and the Weimar Republic; the politics of reparations.</t>
  </si>
  <si>
    <t>Felix, David, 1921-</t>
  </si>
  <si>
    <t>Baltimore, Johns Hopkins Press [1971]</t>
  </si>
  <si>
    <t>1999-02-26</t>
  </si>
  <si>
    <t>1284156:eng</t>
  </si>
  <si>
    <t>135773</t>
  </si>
  <si>
    <t>991000783599702656</t>
  </si>
  <si>
    <t>2263346480002656</t>
  </si>
  <si>
    <t>9780801811753</t>
  </si>
  <si>
    <t>32285002329745</t>
  </si>
  <si>
    <t>893620788</t>
  </si>
  <si>
    <t>D649.G3 M65 1924</t>
  </si>
  <si>
    <t>0                      D  0649000G  3                  M  65          1924</t>
  </si>
  <si>
    <t>The reparation plan : an interpretation of the Reports of the expert committees appointed by the Reparation commission, November 30, 1923 / by Harold G. Moulton, with the aid of the council and staff of the Institute of Economics.</t>
  </si>
  <si>
    <t>Moulton, Harold Glenn, 1883-1965.</t>
  </si>
  <si>
    <t>New York : McGraw-Hill book company, inc., 1924.</t>
  </si>
  <si>
    <t>Institute of Economics. Investigations in international economic reconstruction</t>
  </si>
  <si>
    <t>1993-11-23</t>
  </si>
  <si>
    <t>1328131:eng</t>
  </si>
  <si>
    <t>4064257</t>
  </si>
  <si>
    <t>991004581959702656</t>
  </si>
  <si>
    <t>2265492930002656</t>
  </si>
  <si>
    <t>32285001688323</t>
  </si>
  <si>
    <t>893513421</t>
  </si>
  <si>
    <t>D651.G3 L63</t>
  </si>
  <si>
    <t>0                      D  0651000G  3                  L  63</t>
  </si>
  <si>
    <t>Great Britain and Germany's lost colonies, 1914-1919 / by Wm. Roger Louis.</t>
  </si>
  <si>
    <t>Louis, William Roger, 1936-</t>
  </si>
  <si>
    <t>Oxford : Clarendon P., 1967.</t>
  </si>
  <si>
    <t>1993-11-16</t>
  </si>
  <si>
    <t>1481827:eng</t>
  </si>
  <si>
    <t>342277</t>
  </si>
  <si>
    <t>991002419269702656</t>
  </si>
  <si>
    <t>2266345900002656</t>
  </si>
  <si>
    <t>32285000975275</t>
  </si>
  <si>
    <t>893335283</t>
  </si>
  <si>
    <t>D653 .R5</t>
  </si>
  <si>
    <t>0                      D  0653000R  5</t>
  </si>
  <si>
    <t>After the war; London, Paris, Rome, Athens, Prague, Vienna, Budapest, Bucharest, Berlin, Sofia, Coblenz, New York, Washington: a diary, by Lt.-Col. Charles à Court Repington ...</t>
  </si>
  <si>
    <t>Repington, Charles à Court, 1858-1925.</t>
  </si>
  <si>
    <t>Boston, New York, Houghton Mifflin Company, 1922.</t>
  </si>
  <si>
    <t>1577918:eng</t>
  </si>
  <si>
    <t>444662</t>
  </si>
  <si>
    <t>991002794199702656</t>
  </si>
  <si>
    <t>2264929490002656</t>
  </si>
  <si>
    <t>32285002329919</t>
  </si>
  <si>
    <t>893524059</t>
  </si>
  <si>
    <t>D659.G3 A7 1972</t>
  </si>
  <si>
    <t>0                      D  0659000G  3                  A  7           1972</t>
  </si>
  <si>
    <t>The recovery of Germany / by James W. Angell.</t>
  </si>
  <si>
    <t>Angell, James W. (James Waterhouse), 1898-1986.</t>
  </si>
  <si>
    <t>Westport, Conn. : Greenwood Press, [1972, c1932]</t>
  </si>
  <si>
    <t>Enl. and rev. ed.</t>
  </si>
  <si>
    <t>4925932446:eng</t>
  </si>
  <si>
    <t>207833</t>
  </si>
  <si>
    <t>991001239339702656</t>
  </si>
  <si>
    <t>2266982510002656</t>
  </si>
  <si>
    <t>9780837155500</t>
  </si>
  <si>
    <t>32285000975267</t>
  </si>
  <si>
    <t>893528791</t>
  </si>
  <si>
    <t>D663 .K56 1998</t>
  </si>
  <si>
    <t>0                      D  0663000K  56          1998</t>
  </si>
  <si>
    <t>Memorials of the great war in Britain : the symbolism and politics of remembrance / Alex King.</t>
  </si>
  <si>
    <t>King, Alex.</t>
  </si>
  <si>
    <t>Oxford ; New York : Berg, 1998</t>
  </si>
  <si>
    <t>The legacy of the great war</t>
  </si>
  <si>
    <t>1999-12-13</t>
  </si>
  <si>
    <t>1999-11-03</t>
  </si>
  <si>
    <t>793879987:eng</t>
  </si>
  <si>
    <t>39801802</t>
  </si>
  <si>
    <t>991002972239702656</t>
  </si>
  <si>
    <t>2272396620002656</t>
  </si>
  <si>
    <t>9781859739839</t>
  </si>
  <si>
    <t>32285003617585</t>
  </si>
  <si>
    <t>893616841</t>
  </si>
  <si>
    <t>D7 .B2713</t>
  </si>
  <si>
    <t>0                      D  0007000B  2713</t>
  </si>
  <si>
    <t>Myth, religion, and mother right; selected writings of J. J. Bachofen. Translated from the German by Ralph Manheim. With a pref. by George Boas and an introd. by Joseph Campbell.</t>
  </si>
  <si>
    <t>Bachofen, Johann Jakob, 1815-1887.</t>
  </si>
  <si>
    <t>New Jersey, Princeton University Press , [1967]</t>
  </si>
  <si>
    <t>Bollingen series ; 84</t>
  </si>
  <si>
    <t>1994-06-30</t>
  </si>
  <si>
    <t>1992-06-10</t>
  </si>
  <si>
    <t>8847786626:eng</t>
  </si>
  <si>
    <t>390688</t>
  </si>
  <si>
    <t>991002658859702656</t>
  </si>
  <si>
    <t>2262103950002656</t>
  </si>
  <si>
    <t>32285001166684</t>
  </si>
  <si>
    <t>893691846</t>
  </si>
  <si>
    <t>D7 .B7513</t>
  </si>
  <si>
    <t>0                      D  0007000B  7513</t>
  </si>
  <si>
    <t>On history / Fernand Braudel ; translated by Sarah Matthews.</t>
  </si>
  <si>
    <t>Braudel, Fernand.</t>
  </si>
  <si>
    <t>Chicago : University of Chicago Press, c1980.</t>
  </si>
  <si>
    <t>2005-08-23</t>
  </si>
  <si>
    <t>417963:eng</t>
  </si>
  <si>
    <t>6092168</t>
  </si>
  <si>
    <t>991004929719702656</t>
  </si>
  <si>
    <t>2263569560002656</t>
  </si>
  <si>
    <t>9780226071503</t>
  </si>
  <si>
    <t>32285000034404</t>
  </si>
  <si>
    <t>893501102</t>
  </si>
  <si>
    <t>D7 .M65 1905</t>
  </si>
  <si>
    <t>0                      D  0007000M  65          1905</t>
  </si>
  <si>
    <t>Reden und Aufsätze / von Theodor Mommsen.</t>
  </si>
  <si>
    <t>Mommsen, Theodor, 1817-1903.</t>
  </si>
  <si>
    <t>Berlin : Weidmann, 1905.</t>
  </si>
  <si>
    <t>1905</t>
  </si>
  <si>
    <t>2004-02-09</t>
  </si>
  <si>
    <t>3855252550:ger</t>
  </si>
  <si>
    <t>14011655</t>
  </si>
  <si>
    <t>991000899259702656</t>
  </si>
  <si>
    <t>2260644490002656</t>
  </si>
  <si>
    <t>32285002286796</t>
  </si>
  <si>
    <t>893509207</t>
  </si>
  <si>
    <t>D723 .K54 1987</t>
  </si>
  <si>
    <t>0                      D  0723000K  54          1987</t>
  </si>
  <si>
    <t>1919 : the year our world began / by William K. Klingaman.</t>
  </si>
  <si>
    <t>Klingaman, William K.</t>
  </si>
  <si>
    <t>796071067:eng</t>
  </si>
  <si>
    <t>15162572</t>
  </si>
  <si>
    <t>991000996839702656</t>
  </si>
  <si>
    <t>2263957620002656</t>
  </si>
  <si>
    <t>9780312005566</t>
  </si>
  <si>
    <t>32285001188977</t>
  </si>
  <si>
    <t>893315419</t>
  </si>
  <si>
    <t>D727 .B654 2000</t>
  </si>
  <si>
    <t>0                      D  0727000B  654         2000</t>
  </si>
  <si>
    <t>The dark valley : a panorama of the 1930s / Piers Brendon.</t>
  </si>
  <si>
    <t>Brendon, Piers.</t>
  </si>
  <si>
    <t>New York : Alfred Knopf : Distributed by Random House, 2000.</t>
  </si>
  <si>
    <t>2002-02-20</t>
  </si>
  <si>
    <t>48394830:eng</t>
  </si>
  <si>
    <t>44046943</t>
  </si>
  <si>
    <t>991003735739702656</t>
  </si>
  <si>
    <t>2266793720002656</t>
  </si>
  <si>
    <t>9780375408816</t>
  </si>
  <si>
    <t>32285004455951</t>
  </si>
  <si>
    <t>893711722</t>
  </si>
  <si>
    <t>D727 .C5 1971</t>
  </si>
  <si>
    <t>0                      D  0727000C  5           1971</t>
  </si>
  <si>
    <t>In search of peace.</t>
  </si>
  <si>
    <t>Chamberlain, Neville, 1869-1940.</t>
  </si>
  <si>
    <t>Freeport, N.Y., Books for Libraries Press [1971]</t>
  </si>
  <si>
    <t>2005-11-07</t>
  </si>
  <si>
    <t>1996-09-12</t>
  </si>
  <si>
    <t>1267975:eng</t>
  </si>
  <si>
    <t>161336</t>
  </si>
  <si>
    <t>991000919859702656</t>
  </si>
  <si>
    <t>2269489710002656</t>
  </si>
  <si>
    <t>9780836922745</t>
  </si>
  <si>
    <t>32285002330081</t>
  </si>
  <si>
    <t>893715016</t>
  </si>
  <si>
    <t>D727 .C54 1971</t>
  </si>
  <si>
    <t>0                      D  0727000C  54          1971</t>
  </si>
  <si>
    <t>Step by step, 1936-1939.</t>
  </si>
  <si>
    <t>Freeport, N.Y., Books for Libraries Press [1971, c1939]</t>
  </si>
  <si>
    <t>1997-03-18</t>
  </si>
  <si>
    <t>159852685:eng</t>
  </si>
  <si>
    <t>196026</t>
  </si>
  <si>
    <t>991001219339702656</t>
  </si>
  <si>
    <t>2270117550002656</t>
  </si>
  <si>
    <t>9780836923100</t>
  </si>
  <si>
    <t>32285002330099</t>
  </si>
  <si>
    <t>893438977</t>
  </si>
  <si>
    <t>D727 .G38 1972</t>
  </si>
  <si>
    <t>0                      D  0727000G  38          1972</t>
  </si>
  <si>
    <t>European diplomacy between two wars, 1919-1939. Edited with an introd. by Hans W. Gatzke.</t>
  </si>
  <si>
    <t>Gatzke, Hans W. (Hans Wilhelm), 1915-1987, compiler.</t>
  </si>
  <si>
    <t>Chicago, Quadrangle Books, 1972.</t>
  </si>
  <si>
    <t>Modern scholarship on European history</t>
  </si>
  <si>
    <t>2005-02-22</t>
  </si>
  <si>
    <t>1382130:eng</t>
  </si>
  <si>
    <t>240210</t>
  </si>
  <si>
    <t>991001905179702656</t>
  </si>
  <si>
    <t>2272261220002656</t>
  </si>
  <si>
    <t>9780812901986</t>
  </si>
  <si>
    <t>32285002330131</t>
  </si>
  <si>
    <t>893503790</t>
  </si>
  <si>
    <t>D727 .L385 1998</t>
  </si>
  <si>
    <t>0                      D  0727000L  385         1998</t>
  </si>
  <si>
    <t>In our time : the Chamberlain-Hitler collusion / Clement Leibovitz and Alvin Finkel ; preface by Christopher Hitchens.</t>
  </si>
  <si>
    <t>Leibovitz, Clement.</t>
  </si>
  <si>
    <t>New York : Monthly Review Press, c1998.</t>
  </si>
  <si>
    <t>200049731:eng</t>
  </si>
  <si>
    <t>37935091</t>
  </si>
  <si>
    <t>991003995159702656</t>
  </si>
  <si>
    <t>2266222170002656</t>
  </si>
  <si>
    <t>9780853459989</t>
  </si>
  <si>
    <t>32285004698543</t>
  </si>
  <si>
    <t>893593139</t>
  </si>
  <si>
    <t>D727 .N45 1968</t>
  </si>
  <si>
    <t>0                      D  0727000N  45          1968</t>
  </si>
  <si>
    <t>The balance of power in the interwar years, 1919-1939 / [by] William J. Newman.</t>
  </si>
  <si>
    <t>Newman, William J.</t>
  </si>
  <si>
    <t>New York : Random House, [1968]</t>
  </si>
  <si>
    <t>Studies in political science, PS60</t>
  </si>
  <si>
    <t>1993-05-18</t>
  </si>
  <si>
    <t>1892650:eng</t>
  </si>
  <si>
    <t>936970</t>
  </si>
  <si>
    <t>991003397919702656</t>
  </si>
  <si>
    <t>2272427850002656</t>
  </si>
  <si>
    <t>32285001582765</t>
  </si>
  <si>
    <t>893899947</t>
  </si>
  <si>
    <t>D727 .T37 1979</t>
  </si>
  <si>
    <t>0                      D  0727000T  37          1979</t>
  </si>
  <si>
    <t>Munich : the price of peace / by Telford Taylor.</t>
  </si>
  <si>
    <t>Taylor, Telford.</t>
  </si>
  <si>
    <t>Garden City, N.Y. : Doubleday, 1979.</t>
  </si>
  <si>
    <t>1993-11-08</t>
  </si>
  <si>
    <t>464748:eng</t>
  </si>
  <si>
    <t>4506071</t>
  </si>
  <si>
    <t>991004667649702656</t>
  </si>
  <si>
    <t>2266101800002656</t>
  </si>
  <si>
    <t>9780385020534</t>
  </si>
  <si>
    <t>32285000271832</t>
  </si>
  <si>
    <t>893442924</t>
  </si>
  <si>
    <t>D733.A1 M36 1986</t>
  </si>
  <si>
    <t>0                      D  0733000A  1                  M  36          1986</t>
  </si>
  <si>
    <t>The meaning of the Second World War / Ernest Mandel.</t>
  </si>
  <si>
    <t>Mandel, Ernest.</t>
  </si>
  <si>
    <t>London : Verso, 1986.</t>
  </si>
  <si>
    <t>2004-03-21</t>
  </si>
  <si>
    <t>1991-02-01</t>
  </si>
  <si>
    <t>17117113:eng</t>
  </si>
  <si>
    <t>18192468</t>
  </si>
  <si>
    <t>991001318609702656</t>
  </si>
  <si>
    <t>2269461500002656</t>
  </si>
  <si>
    <t>9780860918424</t>
  </si>
  <si>
    <t>32285000462993</t>
  </si>
  <si>
    <t>893614974</t>
  </si>
  <si>
    <t>D734 .C7 1945e</t>
  </si>
  <si>
    <t>0                      D  0734000C  7           1945e</t>
  </si>
  <si>
    <t>Yalta / Diane Shaver Clemens.</t>
  </si>
  <si>
    <t>Clemens, Diane Shaver.</t>
  </si>
  <si>
    <t>New York : Oxford University Press, 1970.</t>
  </si>
  <si>
    <t>2000-04-09</t>
  </si>
  <si>
    <t>1992-04-15</t>
  </si>
  <si>
    <t>414793:eng</t>
  </si>
  <si>
    <t>98299</t>
  </si>
  <si>
    <t>991000600009702656</t>
  </si>
  <si>
    <t>2272111450002656</t>
  </si>
  <si>
    <t>32285001061307</t>
  </si>
  <si>
    <t>893608085</t>
  </si>
  <si>
    <t>D734 .C7 1945h</t>
  </si>
  <si>
    <t>0                      D  0734000C  7           1945h</t>
  </si>
  <si>
    <t>Yalta : responsibility and response, January-March 1945 / by Floyd H. Rodine.</t>
  </si>
  <si>
    <t>Rodine, Floyd H.</t>
  </si>
  <si>
    <t>Lawrence, Kan. : Coronado Press, c1974.</t>
  </si>
  <si>
    <t>1990-03-08</t>
  </si>
  <si>
    <t>3083985870:eng</t>
  </si>
  <si>
    <t>1424627</t>
  </si>
  <si>
    <t>991003749909702656</t>
  </si>
  <si>
    <t>2271943830002656</t>
  </si>
  <si>
    <t>9780872910492</t>
  </si>
  <si>
    <t>32285000080662</t>
  </si>
  <si>
    <t>893711737</t>
  </si>
  <si>
    <t>D734 .C7 1945j</t>
  </si>
  <si>
    <t>0                      D  0734000C  7           1945j</t>
  </si>
  <si>
    <t>The meaning of Yalta : big three diplomacy and the new balance of power / John L. Snell, editor ; Forrest C. Pogue, Charles F. Delzell, George A. Lensen ; with a foreword by Paul H. Clyde.</t>
  </si>
  <si>
    <t>Snell, John L., editor.</t>
  </si>
  <si>
    <t>Baton Rouge : Louisiana State University Press, 1966, 1970 printing.</t>
  </si>
  <si>
    <t>Louisiana paperbacks ; LSU 8</t>
  </si>
  <si>
    <t>867227824:eng</t>
  </si>
  <si>
    <t>944488</t>
  </si>
  <si>
    <t>991003404769702656</t>
  </si>
  <si>
    <t>2265363490002656</t>
  </si>
  <si>
    <t>32285000041532</t>
  </si>
  <si>
    <t>893336461</t>
  </si>
  <si>
    <t>D734 .C7 1945zl</t>
  </si>
  <si>
    <t>0                      D  0734000C  7           1945zl</t>
  </si>
  <si>
    <t>Decisions at Yalta : an appraisal of summit diplomacy / Russell D. Buhite.</t>
  </si>
  <si>
    <t>Buhite, Russell D.</t>
  </si>
  <si>
    <t>Wilmington, Del. : Scholarly Resources, 1986.</t>
  </si>
  <si>
    <t>1990-03-06</t>
  </si>
  <si>
    <t>1026643:eng</t>
  </si>
  <si>
    <t>13702214</t>
  </si>
  <si>
    <t>991000863569702656</t>
  </si>
  <si>
    <t>2262022140002656</t>
  </si>
  <si>
    <t>9780842022682</t>
  </si>
  <si>
    <t>32285000077999</t>
  </si>
  <si>
    <t>893419837</t>
  </si>
  <si>
    <t>D734 .C7 1945zr</t>
  </si>
  <si>
    <t>0                      D  0734000C  7           1945zr</t>
  </si>
  <si>
    <t>Yalta : yesterday, today, tomorrow / Jean Laloy ; translated by William R. Tyler.</t>
  </si>
  <si>
    <t>Laloy, Jean.</t>
  </si>
  <si>
    <t>New York : Harper &amp; Row, 1990, c1988.</t>
  </si>
  <si>
    <t>478626827:eng</t>
  </si>
  <si>
    <t>19778151</t>
  </si>
  <si>
    <t>991001498639702656</t>
  </si>
  <si>
    <t>2265059390002656</t>
  </si>
  <si>
    <t>9780060391058</t>
  </si>
  <si>
    <t>32285000243294</t>
  </si>
  <si>
    <t>893334357</t>
  </si>
  <si>
    <t>D734.A8 A87 1994</t>
  </si>
  <si>
    <t>0                      D  0734000A  8                  A  87          1994</t>
  </si>
  <si>
    <t>The Atlantic Charter / edited by Douglas Brinkley and David R. Facey-Crowther.</t>
  </si>
  <si>
    <t>New York : St. Martin's Press, 1994.</t>
  </si>
  <si>
    <t>The Franklin and Eleanor Roosevelt Institute series on diplomatic and economic history ; 8</t>
  </si>
  <si>
    <t>1996-03-06</t>
  </si>
  <si>
    <t>1996-01-26</t>
  </si>
  <si>
    <t>349944696:eng</t>
  </si>
  <si>
    <t>29185348</t>
  </si>
  <si>
    <t>991002253409702656</t>
  </si>
  <si>
    <t>2260735090002656</t>
  </si>
  <si>
    <t>9780312089306</t>
  </si>
  <si>
    <t>32285002126166</t>
  </si>
  <si>
    <t>893414997</t>
  </si>
  <si>
    <t>D734.C7 S8</t>
  </si>
  <si>
    <t>0                      D  0734000C  7                  S  8</t>
  </si>
  <si>
    <t>Roosevelt and the Russians : the Yalta Conference / ed. by Walter Johnson.</t>
  </si>
  <si>
    <t>Stettinius, Edward R., Jr. (Edward Reilly), 1900-1949.</t>
  </si>
  <si>
    <t>Garden City, N.Y. : Doubleday, 1949.</t>
  </si>
  <si>
    <t>499771:eng</t>
  </si>
  <si>
    <t>2503656</t>
  </si>
  <si>
    <t>991004142739702656</t>
  </si>
  <si>
    <t>2259177890002656</t>
  </si>
  <si>
    <t>32285001061299</t>
  </si>
  <si>
    <t>893593318</t>
  </si>
  <si>
    <t>D735 .G25</t>
  </si>
  <si>
    <t>0                      D  0735000G  25</t>
  </si>
  <si>
    <t>Documentary background of World War II, 1931-1941.</t>
  </si>
  <si>
    <t>Gantenbein, James W. (James Watson), 1900-1960, editor.</t>
  </si>
  <si>
    <t>New York, Columbia Univ. Press, 1948.</t>
  </si>
  <si>
    <t>1948</t>
  </si>
  <si>
    <t>3900999171:eng</t>
  </si>
  <si>
    <t>1305821</t>
  </si>
  <si>
    <t>991003680439702656</t>
  </si>
  <si>
    <t>2264427870002656</t>
  </si>
  <si>
    <t>32285002330222</t>
  </si>
  <si>
    <t>893228321</t>
  </si>
  <si>
    <t>D735 .G372</t>
  </si>
  <si>
    <t>0                      D  0735000G  372</t>
  </si>
  <si>
    <t>Documents on the events preceding the outbreak of the war / compiled and published by the German foreign office. Berlin, 1939.</t>
  </si>
  <si>
    <t>Germany. Auswärtiges Amt.</t>
  </si>
  <si>
    <t>1997-02-06</t>
  </si>
  <si>
    <t>1993-05-26</t>
  </si>
  <si>
    <t>2134102:eng</t>
  </si>
  <si>
    <t>1182887</t>
  </si>
  <si>
    <t>991003603809702656</t>
  </si>
  <si>
    <t>2265189470002656</t>
  </si>
  <si>
    <t>32285001693299</t>
  </si>
  <si>
    <t>893868615</t>
  </si>
  <si>
    <t>D735 .J33 1964</t>
  </si>
  <si>
    <t>0                      D  0735000J  33          1964</t>
  </si>
  <si>
    <t>Zur Konzeption einer Geschichte des Zweiten Weltkrieges, 1939-1945 : Disposition mit kritisch ausgewähltem Schriftum / Hans-Adolf Jacobsen ; (bearb. unter Mitwirkung von Joachim Röseler)</t>
  </si>
  <si>
    <t>Jacobsen, Hans Adolf.</t>
  </si>
  <si>
    <t>Frankfurt am Main : Bernard &amp; Graefe, 1964.</t>
  </si>
  <si>
    <t>Schriften der Bibliothek für Zeitgeschichte, Weltkriegsbücherei, Stuttgart, neue Folge der Bibliographien der Weltkriegsbücherei, Heft 2</t>
  </si>
  <si>
    <t>194369147:ger</t>
  </si>
  <si>
    <t>3737741</t>
  </si>
  <si>
    <t>991003613699702656</t>
  </si>
  <si>
    <t>2267575550002656</t>
  </si>
  <si>
    <t>32285004382023</t>
  </si>
  <si>
    <t>893774950</t>
  </si>
  <si>
    <t>D735 .W6</t>
  </si>
  <si>
    <t>0                      D  0735000W  6</t>
  </si>
  <si>
    <t>The United Nations in the making: basic documents.</t>
  </si>
  <si>
    <t>World Peace Foundation.</t>
  </si>
  <si>
    <t>Boston, World Peace Foundation, 1945.</t>
  </si>
  <si>
    <t>1997-04-14</t>
  </si>
  <si>
    <t>13403586:eng</t>
  </si>
  <si>
    <t>6508275</t>
  </si>
  <si>
    <t>991004995069702656</t>
  </si>
  <si>
    <t>2264444930002656</t>
  </si>
  <si>
    <t>32285002330271</t>
  </si>
  <si>
    <t>893260413</t>
  </si>
  <si>
    <t>D735 .W65</t>
  </si>
  <si>
    <t>0                      D  0735000W  65</t>
  </si>
  <si>
    <t>World War II, policy and strategy : selected documents with commentary / Hans-Adolf Jacobsen and Arthur L. Smith, Jr.</t>
  </si>
  <si>
    <t>Santa Barbara, Calif. : Clio Books, c1979.</t>
  </si>
  <si>
    <t>1990-04-17</t>
  </si>
  <si>
    <t>522025:eng</t>
  </si>
  <si>
    <t>4775521</t>
  </si>
  <si>
    <t>991004714529702656</t>
  </si>
  <si>
    <t>2255485950002656</t>
  </si>
  <si>
    <t>9780874362916</t>
  </si>
  <si>
    <t>32285000120799</t>
  </si>
  <si>
    <t>893688049</t>
  </si>
  <si>
    <t>D735.A1 G45</t>
  </si>
  <si>
    <t>0                      D  0735000A  1                  G  45</t>
  </si>
  <si>
    <t>Blitzkrieg to defeat : Hitler's war directives, 1939-1945 / edited with an introd. and commentary by H. R. Trevor-Roper.</t>
  </si>
  <si>
    <t>Germany. Wehrmacht. Oberkommando.</t>
  </si>
  <si>
    <t>New York : Holt, Rinehart and Winston, [1965, c1964]</t>
  </si>
  <si>
    <t>1993-10-05</t>
  </si>
  <si>
    <t>3855413221:eng</t>
  </si>
  <si>
    <t>12723697</t>
  </si>
  <si>
    <t>991000730539702656</t>
  </si>
  <si>
    <t>2268768990002656</t>
  </si>
  <si>
    <t>32285001772879</t>
  </si>
  <si>
    <t>893696106</t>
  </si>
  <si>
    <t>D735.A1 G46</t>
  </si>
  <si>
    <t>0                      D  0735000A  1                  G  46</t>
  </si>
  <si>
    <t>Hitler's war directives, 1939-1945 / edited by H. R. Trevor- Roper.</t>
  </si>
  <si>
    <t>London : Sidgwick and Jackson, 1964.</t>
  </si>
  <si>
    <t>1994-11-06</t>
  </si>
  <si>
    <t>477851566:eng</t>
  </si>
  <si>
    <t>15338507</t>
  </si>
  <si>
    <t>991001017809702656</t>
  </si>
  <si>
    <t>2259654880002656</t>
  </si>
  <si>
    <t>32285000080670</t>
  </si>
  <si>
    <t>893872219</t>
  </si>
  <si>
    <t>D735.U6 A53 1945a</t>
  </si>
  <si>
    <t>0                      D  0735000U  6                  A  53          1945a</t>
  </si>
  <si>
    <t>The axis in defeat : a collection of documents on American policy toward Germany and Japan.</t>
  </si>
  <si>
    <t>United States. Department of State.</t>
  </si>
  <si>
    <t>[Washington] : The Dept. of state, [1945]</t>
  </si>
  <si>
    <t>Its Publication 2423</t>
  </si>
  <si>
    <t>1994-11-16</t>
  </si>
  <si>
    <t>2144997:eng</t>
  </si>
  <si>
    <t>1240727</t>
  </si>
  <si>
    <t>991003642489702656</t>
  </si>
  <si>
    <t>2257726980002656</t>
  </si>
  <si>
    <t>32285001967339</t>
  </si>
  <si>
    <t>893598794</t>
  </si>
  <si>
    <t>D736 .H86 2001</t>
  </si>
  <si>
    <t>0                      D  0736000H  86          2001</t>
  </si>
  <si>
    <t>Eisenhower and Churchill : the partnership that saved the world / James C. Humes.</t>
  </si>
  <si>
    <t>Humes, James C.</t>
  </si>
  <si>
    <t>Roseville, CA : Forum/Prima Publishing, c2001.</t>
  </si>
  <si>
    <t>2005-03-14</t>
  </si>
  <si>
    <t>2001-11-12</t>
  </si>
  <si>
    <t>837066652:eng</t>
  </si>
  <si>
    <t>47054798</t>
  </si>
  <si>
    <t>991003628559702656</t>
  </si>
  <si>
    <t>2269159900002656</t>
  </si>
  <si>
    <t>9780761525615</t>
  </si>
  <si>
    <t>32285004410287</t>
  </si>
  <si>
    <t>893810084</t>
  </si>
  <si>
    <t>D736 .L83 1996</t>
  </si>
  <si>
    <t>0                      D  0736000L  83          1996</t>
  </si>
  <si>
    <t>Hitler's enforcers : leaders of the German war machine, 1933-1945 / James Lucas.</t>
  </si>
  <si>
    <t>Lucas, James, 1923-2002.</t>
  </si>
  <si>
    <t>London : Arms and Armour, c1996.</t>
  </si>
  <si>
    <t>2001-04-01</t>
  </si>
  <si>
    <t>1996-12-23</t>
  </si>
  <si>
    <t>10568026879:eng</t>
  </si>
  <si>
    <t>35666139</t>
  </si>
  <si>
    <t>991002720289702656</t>
  </si>
  <si>
    <t>2261317960002656</t>
  </si>
  <si>
    <t>9781854092731</t>
  </si>
  <si>
    <t>32285002403029</t>
  </si>
  <si>
    <t>893622633</t>
  </si>
  <si>
    <t>D739 .H57</t>
  </si>
  <si>
    <t>0                      D  0739000H  57</t>
  </si>
  <si>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</si>
  <si>
    <t>V.40</t>
  </si>
  <si>
    <t>Hopkins, J. A. H. (John Appleton Haven), 1872-1960, compiler.</t>
  </si>
  <si>
    <t>[Baltimore : National advertising company, 1942.</t>
  </si>
  <si>
    <t>2000-07-14</t>
  </si>
  <si>
    <t>5503639:eng</t>
  </si>
  <si>
    <t>2610500</t>
  </si>
  <si>
    <t>991004183079702656</t>
  </si>
  <si>
    <t>2272199310002656</t>
  </si>
  <si>
    <t>32285001965903</t>
  </si>
  <si>
    <t>893628016</t>
  </si>
  <si>
    <t>V.25</t>
  </si>
  <si>
    <t>32285001965754</t>
  </si>
  <si>
    <t>893612040</t>
  </si>
  <si>
    <t>V.52</t>
  </si>
  <si>
    <t>32285001966026</t>
  </si>
  <si>
    <t>893612036</t>
  </si>
  <si>
    <t>V.18</t>
  </si>
  <si>
    <t>32285001965689</t>
  </si>
  <si>
    <t>893593378</t>
  </si>
  <si>
    <t>V.22</t>
  </si>
  <si>
    <t>32285001965721</t>
  </si>
  <si>
    <t>893605729</t>
  </si>
  <si>
    <t>V.42</t>
  </si>
  <si>
    <t>32285001965929</t>
  </si>
  <si>
    <t>893612039</t>
  </si>
  <si>
    <t>V.53</t>
  </si>
  <si>
    <t>32285001966034</t>
  </si>
  <si>
    <t>893612035</t>
  </si>
  <si>
    <t>V.34</t>
  </si>
  <si>
    <t>32285001965846</t>
  </si>
  <si>
    <t>893599525</t>
  </si>
  <si>
    <t>V.31</t>
  </si>
  <si>
    <t>32285001965812</t>
  </si>
  <si>
    <t>893612023</t>
  </si>
  <si>
    <t>32285001965606</t>
  </si>
  <si>
    <t>893605731</t>
  </si>
  <si>
    <t>V.20</t>
  </si>
  <si>
    <t>32285001965705</t>
  </si>
  <si>
    <t>893628020</t>
  </si>
  <si>
    <t>V.46</t>
  </si>
  <si>
    <t>32285001965960</t>
  </si>
  <si>
    <t>893612037</t>
  </si>
  <si>
    <t>32285001965655</t>
  </si>
  <si>
    <t>893612041</t>
  </si>
  <si>
    <t>V.44</t>
  </si>
  <si>
    <t>32285001965945</t>
  </si>
  <si>
    <t>893612021</t>
  </si>
  <si>
    <t>32285001965630</t>
  </si>
  <si>
    <t>893628022</t>
  </si>
  <si>
    <t>32285001965598</t>
  </si>
  <si>
    <t>893618212</t>
  </si>
  <si>
    <t>V.24</t>
  </si>
  <si>
    <t>32285001965747</t>
  </si>
  <si>
    <t>893599526</t>
  </si>
  <si>
    <t>V.17</t>
  </si>
  <si>
    <t>32285001965671</t>
  </si>
  <si>
    <t>893612032</t>
  </si>
  <si>
    <t>V.23</t>
  </si>
  <si>
    <t>32285001965739</t>
  </si>
  <si>
    <t>893599527</t>
  </si>
  <si>
    <t>V.43</t>
  </si>
  <si>
    <t>32285001965937</t>
  </si>
  <si>
    <t>893618279</t>
  </si>
  <si>
    <t>32285001965572</t>
  </si>
  <si>
    <t>893612033</t>
  </si>
  <si>
    <t>V.49</t>
  </si>
  <si>
    <t>32285001965994</t>
  </si>
  <si>
    <t>893593372</t>
  </si>
  <si>
    <t>V.37</t>
  </si>
  <si>
    <t>32285001965879</t>
  </si>
  <si>
    <t>893628018</t>
  </si>
  <si>
    <t>V.36</t>
  </si>
  <si>
    <t>32285001965861</t>
  </si>
  <si>
    <t>893628019</t>
  </si>
  <si>
    <t>V.51</t>
  </si>
  <si>
    <t>32285001966018</t>
  </si>
  <si>
    <t>893618262</t>
  </si>
  <si>
    <t>V.41</t>
  </si>
  <si>
    <t>32285001965911</t>
  </si>
  <si>
    <t>893593374</t>
  </si>
  <si>
    <t>V.27</t>
  </si>
  <si>
    <t>32285001965770</t>
  </si>
  <si>
    <t>893612024</t>
  </si>
  <si>
    <t>V.19</t>
  </si>
  <si>
    <t>32285001965697</t>
  </si>
  <si>
    <t>893612031</t>
  </si>
  <si>
    <t>V.45</t>
  </si>
  <si>
    <t>32285001965952</t>
  </si>
  <si>
    <t>893612038</t>
  </si>
  <si>
    <t>32285001965556</t>
  </si>
  <si>
    <t>893612025</t>
  </si>
  <si>
    <t>V.39</t>
  </si>
  <si>
    <t>32285001965895</t>
  </si>
  <si>
    <t>893628017</t>
  </si>
  <si>
    <t>V.28</t>
  </si>
  <si>
    <t>32285001965788</t>
  </si>
  <si>
    <t>893593377</t>
  </si>
  <si>
    <t>32285001965549</t>
  </si>
  <si>
    <t>893593375</t>
  </si>
  <si>
    <t>V.30</t>
  </si>
  <si>
    <t>32285001965804</t>
  </si>
  <si>
    <t>893612027</t>
  </si>
  <si>
    <t>V.38</t>
  </si>
  <si>
    <t>32285001965887</t>
  </si>
  <si>
    <t>893612022</t>
  </si>
  <si>
    <t>V.35</t>
  </si>
  <si>
    <t>32285001965853</t>
  </si>
  <si>
    <t>893593376</t>
  </si>
  <si>
    <t>V.29</t>
  </si>
  <si>
    <t>32285001965796</t>
  </si>
  <si>
    <t>893612029</t>
  </si>
  <si>
    <t>V.47</t>
  </si>
  <si>
    <t>32285001965978</t>
  </si>
  <si>
    <t>893612026</t>
  </si>
  <si>
    <t>32285001965622</t>
  </si>
  <si>
    <t>893605730</t>
  </si>
  <si>
    <t>V.50</t>
  </si>
  <si>
    <t>32285001966000</t>
  </si>
  <si>
    <t>893605726</t>
  </si>
  <si>
    <t>32285001965515</t>
  </si>
  <si>
    <t>893612042</t>
  </si>
  <si>
    <t>V.33</t>
  </si>
  <si>
    <t>32285001965838</t>
  </si>
  <si>
    <t>893605727</t>
  </si>
  <si>
    <t>V.16</t>
  </si>
  <si>
    <t>32285001965663</t>
  </si>
  <si>
    <t>893628021</t>
  </si>
  <si>
    <t>32285001965648</t>
  </si>
  <si>
    <t>893618351</t>
  </si>
  <si>
    <t>32285001965564</t>
  </si>
  <si>
    <t>893612034</t>
  </si>
  <si>
    <t>32285001965531</t>
  </si>
  <si>
    <t>893612028</t>
  </si>
  <si>
    <t>32285001965580</t>
  </si>
  <si>
    <t>893612020</t>
  </si>
  <si>
    <t>32285001965523</t>
  </si>
  <si>
    <t>893599528</t>
  </si>
  <si>
    <t>V.48</t>
  </si>
  <si>
    <t>32285001965986</t>
  </si>
  <si>
    <t>893593373</t>
  </si>
  <si>
    <t>V.26</t>
  </si>
  <si>
    <t>32285001965762</t>
  </si>
  <si>
    <t>893612030</t>
  </si>
  <si>
    <t>32285001965614</t>
  </si>
  <si>
    <t>893618352</t>
  </si>
  <si>
    <t>V.32</t>
  </si>
  <si>
    <t>32285001965820</t>
  </si>
  <si>
    <t>893605728</t>
  </si>
  <si>
    <t>V.54</t>
  </si>
  <si>
    <t>32285001966042</t>
  </si>
  <si>
    <t>893618221</t>
  </si>
  <si>
    <t>V.21</t>
  </si>
  <si>
    <t>32285001965713</t>
  </si>
  <si>
    <t>893618316</t>
  </si>
  <si>
    <t>D741 .A3 1979</t>
  </si>
  <si>
    <t>0                      D  0741000A  3           1979</t>
  </si>
  <si>
    <t>The making of the Second World War / Anthony P. Adamthwaite.</t>
  </si>
  <si>
    <t>Adamthwaite, Anthony P.</t>
  </si>
  <si>
    <t>London ; Boston : Allen &amp; Unwin, 1979.</t>
  </si>
  <si>
    <t>Historical problems--studies and documents ; no. 28</t>
  </si>
  <si>
    <t>1992-02-11</t>
  </si>
  <si>
    <t>10678280296:eng</t>
  </si>
  <si>
    <t>5120644</t>
  </si>
  <si>
    <t>991004782079702656</t>
  </si>
  <si>
    <t>2272754290002656</t>
  </si>
  <si>
    <t>9780049400573</t>
  </si>
  <si>
    <t>32285000956366</t>
  </si>
  <si>
    <t>893801355</t>
  </si>
  <si>
    <t>D741 .A75 1974</t>
  </si>
  <si>
    <t>0                      D  0741000A  75          1974</t>
  </si>
  <si>
    <t>1939 : the making of the Second World War.</t>
  </si>
  <si>
    <t>Aster, Sidney, 1942-</t>
  </si>
  <si>
    <t>New York : Simon and Schuster, [1974, c1973]</t>
  </si>
  <si>
    <t>1993-04-22</t>
  </si>
  <si>
    <t>1718739:eng</t>
  </si>
  <si>
    <t>826106</t>
  </si>
  <si>
    <t>991003303029702656</t>
  </si>
  <si>
    <t>2270038820002656</t>
  </si>
  <si>
    <t>9780671216894</t>
  </si>
  <si>
    <t>32285001622835</t>
  </si>
  <si>
    <t>893240071</t>
  </si>
  <si>
    <t>D741 .B38 1986</t>
  </si>
  <si>
    <t>0                      D  0741000B  38          1986</t>
  </si>
  <si>
    <t>The origins of the Second World War in Europe / P.M.H. Bell.</t>
  </si>
  <si>
    <t>Bell, P. M. H. (Philip Michael Hett), 1930-</t>
  </si>
  <si>
    <t>London ; New York : Longman, 1986.</t>
  </si>
  <si>
    <t>Origins of modern wars</t>
  </si>
  <si>
    <t>563780:eng</t>
  </si>
  <si>
    <t>12668290</t>
  </si>
  <si>
    <t>991000722389702656</t>
  </si>
  <si>
    <t>2266561110002656</t>
  </si>
  <si>
    <t>9780582491120</t>
  </si>
  <si>
    <t>32285000993120</t>
  </si>
  <si>
    <t>893502752</t>
  </si>
  <si>
    <t>D741 .E43 1977</t>
  </si>
  <si>
    <t>0                      D  0741000E  43          1977</t>
  </si>
  <si>
    <t>Prelude to war / by Robert T. Elson and the editors of Time-Life Books.</t>
  </si>
  <si>
    <t>Elson, Robert T.</t>
  </si>
  <si>
    <t>New York : Time-Life Books, [c1977]</t>
  </si>
  <si>
    <t>World War II</t>
  </si>
  <si>
    <t>348588456:eng</t>
  </si>
  <si>
    <t>2575147</t>
  </si>
  <si>
    <t>991004345639702656</t>
  </si>
  <si>
    <t>2265940520002656</t>
  </si>
  <si>
    <t>32285000271840</t>
  </si>
  <si>
    <t>893259615</t>
  </si>
  <si>
    <t>D741 .F37 1983</t>
  </si>
  <si>
    <t>0                      D  0741000F  37          1983</t>
  </si>
  <si>
    <t>The Fascist challenge and the policy of appeasement / edited by Wolfgang J. Mommsen and Lothar Kettenacker.</t>
  </si>
  <si>
    <t>London ; Boston : G. Allen &amp; Unwin, 1983.</t>
  </si>
  <si>
    <t>2005-11-08</t>
  </si>
  <si>
    <t>365829024:eng</t>
  </si>
  <si>
    <t>9324686</t>
  </si>
  <si>
    <t>991000172189702656</t>
  </si>
  <si>
    <t>2259689920002656</t>
  </si>
  <si>
    <t>9780049400689</t>
  </si>
  <si>
    <t>32285000271857</t>
  </si>
  <si>
    <t>893333269</t>
  </si>
  <si>
    <t>D741 .H3</t>
  </si>
  <si>
    <t>0                      D  0741000H  3</t>
  </si>
  <si>
    <t>The origins and background of the second world war [by] C. Grove Haines and Ross J.S. Hoffman.</t>
  </si>
  <si>
    <t>Haines, C. Grove (Charles Grove), 1906-1976.</t>
  </si>
  <si>
    <t>London, New York, Oxford University Press, 1943.</t>
  </si>
  <si>
    <t>1943</t>
  </si>
  <si>
    <t>1537044:eng</t>
  </si>
  <si>
    <t>394868</t>
  </si>
  <si>
    <t>991002670219702656</t>
  </si>
  <si>
    <t>2260273800002656</t>
  </si>
  <si>
    <t>32285002330313</t>
  </si>
  <si>
    <t>893421652</t>
  </si>
  <si>
    <t>D741 .L32 2001</t>
  </si>
  <si>
    <t>0                      D  0741000L  32          2001</t>
  </si>
  <si>
    <t>From Versailles to Pearl Harbor : the origins of the Second World War in Europe and Asia / Margaret Lamb and Nicholas Tarling.</t>
  </si>
  <si>
    <t>Lamb, Margaret.</t>
  </si>
  <si>
    <t>Houndmills, Basingstoke, Hampshire ; New York : Palgrave, 2001.</t>
  </si>
  <si>
    <t>2003-02-03</t>
  </si>
  <si>
    <t>9365201:eng</t>
  </si>
  <si>
    <t>45100459</t>
  </si>
  <si>
    <t>991003967279702656</t>
  </si>
  <si>
    <t>2269431850002656</t>
  </si>
  <si>
    <t>9780333738399</t>
  </si>
  <si>
    <t>32285004696711</t>
  </si>
  <si>
    <t>893894416</t>
  </si>
  <si>
    <t>D741 .L65 1972</t>
  </si>
  <si>
    <t>0                      D  0741000L  65          1972</t>
  </si>
  <si>
    <t>The origins of the Second World War: A. J. P. Taylor and his critics, edited by Roger Louis.</t>
  </si>
  <si>
    <t>1563022:eng</t>
  </si>
  <si>
    <t>482407</t>
  </si>
  <si>
    <t>991002841229702656</t>
  </si>
  <si>
    <t>2258989460002656</t>
  </si>
  <si>
    <t>9780471544692</t>
  </si>
  <si>
    <t>32285002330339</t>
  </si>
  <si>
    <t>893329624</t>
  </si>
  <si>
    <t>D741 .O745 1986</t>
  </si>
  <si>
    <t>0                      D  0741000O  745         1986</t>
  </si>
  <si>
    <t>The Origins of the Second World War reconsidered : the A.J.P. Taylor debate after twenty-five years / edited by Gordon Martel.</t>
  </si>
  <si>
    <t>Boston : Allen &amp; Unwin, 1986.</t>
  </si>
  <si>
    <t>1990-08-09</t>
  </si>
  <si>
    <t>319979724:eng</t>
  </si>
  <si>
    <t>12613235</t>
  </si>
  <si>
    <t>991000713859702656</t>
  </si>
  <si>
    <t>2260518730002656</t>
  </si>
  <si>
    <t>9780049400856</t>
  </si>
  <si>
    <t>32285000271881</t>
  </si>
  <si>
    <t>893327520</t>
  </si>
  <si>
    <t>D741 .O76 2003</t>
  </si>
  <si>
    <t>0                      D  0741000O  76          2003</t>
  </si>
  <si>
    <t>The origins of World War Two : the debate continues / edited by Robert Boyce and Joseph A. Maiolo.</t>
  </si>
  <si>
    <t>Houndmills, Basingstoke, Hampshire ; New York : Palgrave Macmillan, 2003.</t>
  </si>
  <si>
    <t>2004-09-29</t>
  </si>
  <si>
    <t>800854429:eng</t>
  </si>
  <si>
    <t>51848611</t>
  </si>
  <si>
    <t>991004360199702656</t>
  </si>
  <si>
    <t>2257399660002656</t>
  </si>
  <si>
    <t>9780333945261</t>
  </si>
  <si>
    <t>32285004989611</t>
  </si>
  <si>
    <t>893794767</t>
  </si>
  <si>
    <t>D741 .O84 1998</t>
  </si>
  <si>
    <t>0                      D  0741000O  84          1998</t>
  </si>
  <si>
    <t>The origins of the Second World War / R.J. Overy.</t>
  </si>
  <si>
    <t>Overy, R. J.</t>
  </si>
  <si>
    <t>2005-05-04</t>
  </si>
  <si>
    <t>1998-09-08</t>
  </si>
  <si>
    <t>7161188:eng</t>
  </si>
  <si>
    <t>37725499</t>
  </si>
  <si>
    <t>991002862389702656</t>
  </si>
  <si>
    <t>2255778500002656</t>
  </si>
  <si>
    <t>9780582290853</t>
  </si>
  <si>
    <t>32285003466215</t>
  </si>
  <si>
    <t>893793021</t>
  </si>
  <si>
    <t>D741 .R54 1971</t>
  </si>
  <si>
    <t>0                      D  0741000R  54          1971</t>
  </si>
  <si>
    <t>The origins of the Second World War : historical interpretations / edited by E. M. Robertson.</t>
  </si>
  <si>
    <t>Robertson, Esmonde M. (Esmonde Manning), 1923-, compiler.</t>
  </si>
  <si>
    <t>London : Macmillan ; New York : St. Martin's, 1971.</t>
  </si>
  <si>
    <t>1995-04-26</t>
  </si>
  <si>
    <t>55144336:eng</t>
  </si>
  <si>
    <t>145089</t>
  </si>
  <si>
    <t>991000821619702656</t>
  </si>
  <si>
    <t>2257704350002656</t>
  </si>
  <si>
    <t>9780333039823</t>
  </si>
  <si>
    <t>32285002029683</t>
  </si>
  <si>
    <t>893797017</t>
  </si>
  <si>
    <t>D741 .S64 1987</t>
  </si>
  <si>
    <t>0                      D  0741000S  64          1987</t>
  </si>
  <si>
    <t>The dark summer : an intimate history of the events that led to World War II / Gene Smith.</t>
  </si>
  <si>
    <t>Smith, Gene.</t>
  </si>
  <si>
    <t>New York : Macmillan ; London : Collier Macmillan, c1987.</t>
  </si>
  <si>
    <t>1999-03-17</t>
  </si>
  <si>
    <t>10551405:eng</t>
  </si>
  <si>
    <t>15489313</t>
  </si>
  <si>
    <t>991001028719702656</t>
  </si>
  <si>
    <t>2272351420002656</t>
  </si>
  <si>
    <t>9780026119702</t>
  </si>
  <si>
    <t>32285000990365</t>
  </si>
  <si>
    <t>893340103</t>
  </si>
  <si>
    <t>D741 .T53 1967</t>
  </si>
  <si>
    <t>0                      D  0741000T  53          1967</t>
  </si>
  <si>
    <t>The approach of war, 1938-1939 [by] Christopher Thorne.</t>
  </si>
  <si>
    <t>Thorne, Christopher, 1934-1992.</t>
  </si>
  <si>
    <t>London, Melbourne [etc.] Macmillan; New York, St. Martin's P., 1967.</t>
  </si>
  <si>
    <t>The Making of the twentieth century</t>
  </si>
  <si>
    <t>1997-03-07</t>
  </si>
  <si>
    <t>1996-05-07</t>
  </si>
  <si>
    <t>572088:eng</t>
  </si>
  <si>
    <t>394768</t>
  </si>
  <si>
    <t>991002669909702656</t>
  </si>
  <si>
    <t>2260233760002656</t>
  </si>
  <si>
    <t>32285002162310</t>
  </si>
  <si>
    <t>893622574</t>
  </si>
  <si>
    <t>D741 .W44</t>
  </si>
  <si>
    <t>0                      D  0741000W  44</t>
  </si>
  <si>
    <t>The origins of World War II : a brief survey of the beginnings of the present war, on the basis of official documents / by Alfred von Wegerer.</t>
  </si>
  <si>
    <t>Wegerer, Alfred von, 1880-1945.</t>
  </si>
  <si>
    <t>New York : R.R. Smith, 1941.</t>
  </si>
  <si>
    <t>1991-02-06</t>
  </si>
  <si>
    <t>1537038:eng</t>
  </si>
  <si>
    <t>394866</t>
  </si>
  <si>
    <t>991002670189702656</t>
  </si>
  <si>
    <t>2260274080002656</t>
  </si>
  <si>
    <t>32285000473610</t>
  </si>
  <si>
    <t>893530307</t>
  </si>
  <si>
    <t>D742.F7 Y68 1996</t>
  </si>
  <si>
    <t>0                      D  0742000F  7                  Y  68          1996</t>
  </si>
  <si>
    <t>France and the origins of the Second World War / Robert J. Young.</t>
  </si>
  <si>
    <t>Young, Robert J., 1942-</t>
  </si>
  <si>
    <t>1997-04-18</t>
  </si>
  <si>
    <t>9738263388:eng</t>
  </si>
  <si>
    <t>34283484</t>
  </si>
  <si>
    <t>991002615589702656</t>
  </si>
  <si>
    <t>2257699120002656</t>
  </si>
  <si>
    <t>9780312161859</t>
  </si>
  <si>
    <t>32285002475985</t>
  </si>
  <si>
    <t>893809588</t>
  </si>
  <si>
    <t>D742.G4 S6</t>
  </si>
  <si>
    <t>0                      D  0742000G  4                  S  6</t>
  </si>
  <si>
    <t>The outbreak of the Second World War : design or blunder? / edited with an introd. by John L. Snell.</t>
  </si>
  <si>
    <t>Snell, John L. editor.</t>
  </si>
  <si>
    <t>Boston : Heath, [1962]</t>
  </si>
  <si>
    <t>1993-03-25</t>
  </si>
  <si>
    <t>290700:eng</t>
  </si>
  <si>
    <t>253651</t>
  </si>
  <si>
    <t>991001963039702656</t>
  </si>
  <si>
    <t>2267089060002656</t>
  </si>
  <si>
    <t>32285001591451</t>
  </si>
  <si>
    <t>893262005</t>
  </si>
  <si>
    <t>D742.J3 P44</t>
  </si>
  <si>
    <t>0                      D  0742000J  3                  P  44</t>
  </si>
  <si>
    <t>Race to Pearl Harbor : the failure of the Second London Naval Conference and the onset of World War II / [by] Stephen E. Pelz.</t>
  </si>
  <si>
    <t>Pelz, Stephen E.</t>
  </si>
  <si>
    <t>Cambridge, Mass. : Harvard University Press, 1974.</t>
  </si>
  <si>
    <t>Harvard studies in American-East Asian relations ; 5</t>
  </si>
  <si>
    <t>1996-04-20</t>
  </si>
  <si>
    <t>1994-05-04</t>
  </si>
  <si>
    <t>364867782:eng</t>
  </si>
  <si>
    <t>980082</t>
  </si>
  <si>
    <t>991003444339702656</t>
  </si>
  <si>
    <t>2271269700002656</t>
  </si>
  <si>
    <t>9780674745759</t>
  </si>
  <si>
    <t>32285001906865</t>
  </si>
  <si>
    <t>893352826</t>
  </si>
  <si>
    <t>D742.J3 S38</t>
  </si>
  <si>
    <t>0                      D  0742000J  3                  S  38</t>
  </si>
  <si>
    <t>The Axis alliance and Japanese-American relations, 1941.</t>
  </si>
  <si>
    <t>Schroeder, Paul W.</t>
  </si>
  <si>
    <t>Ithaca, N.Y. : Published for the American Historical Association [by] Cornell University Press, [1958]</t>
  </si>
  <si>
    <t>1995-03-24</t>
  </si>
  <si>
    <t>1994-12-01</t>
  </si>
  <si>
    <t>1349327:eng</t>
  </si>
  <si>
    <t>254389</t>
  </si>
  <si>
    <t>991001977389702656</t>
  </si>
  <si>
    <t>2269457820002656</t>
  </si>
  <si>
    <t>32285001980035</t>
  </si>
  <si>
    <t>893596892</t>
  </si>
  <si>
    <t>D742.J3 T613</t>
  </si>
  <si>
    <t>0                      D  0742000J  3                  T  613</t>
  </si>
  <si>
    <t>The cause of Japan / translated and edited by Tōgō Fumihiko and Ben Bruce Blakeney.</t>
  </si>
  <si>
    <t>Tōgō, Shigenori, 1882-1950.</t>
  </si>
  <si>
    <t>New York : Simon and Schuster, 1956.</t>
  </si>
  <si>
    <t>1996-04-22</t>
  </si>
  <si>
    <t>1993-09-03</t>
  </si>
  <si>
    <t>7445455:eng</t>
  </si>
  <si>
    <t>1242930</t>
  </si>
  <si>
    <t>991003643869702656</t>
  </si>
  <si>
    <t>2261563940002656</t>
  </si>
  <si>
    <t>32285001763241</t>
  </si>
  <si>
    <t>893881387</t>
  </si>
  <si>
    <t>D742.U5 H3 1984</t>
  </si>
  <si>
    <t>0                      D  0742000U  5                  H  3           1984</t>
  </si>
  <si>
    <t>Latin America and the transformation of U.S. strategic thought, 1936-1940 / David G. Haglund.</t>
  </si>
  <si>
    <t>Haglund, David G.</t>
  </si>
  <si>
    <t>Albuquerque : University of New Mexico Press, c1984.</t>
  </si>
  <si>
    <t>nmu</t>
  </si>
  <si>
    <t>2000-01-25</t>
  </si>
  <si>
    <t>3422255:eng</t>
  </si>
  <si>
    <t>10324985</t>
  </si>
  <si>
    <t>991000355849702656</t>
  </si>
  <si>
    <t>2268091120002656</t>
  </si>
  <si>
    <t>9780826307477</t>
  </si>
  <si>
    <t>32285001189066</t>
  </si>
  <si>
    <t>893614110</t>
  </si>
  <si>
    <t>D743 .C47</t>
  </si>
  <si>
    <t>0                      D  0743000C  47</t>
  </si>
  <si>
    <t>The Second World War / by Winston S. Churchill.</t>
  </si>
  <si>
    <t>V. 6</t>
  </si>
  <si>
    <t>2</t>
  </si>
  <si>
    <t>Boston : Houghton Mifflin Co. : Published in association with the Cooperation Pub. Co., 1948-1953.</t>
  </si>
  <si>
    <t>2000-04-14</t>
  </si>
  <si>
    <t>2004-09-12</t>
  </si>
  <si>
    <t>1990-03-16</t>
  </si>
  <si>
    <t>1151806148:eng</t>
  </si>
  <si>
    <t>1017793</t>
  </si>
  <si>
    <t>991003474259702656</t>
  </si>
  <si>
    <t>2258979270002656</t>
  </si>
  <si>
    <t>32285000090067</t>
  </si>
  <si>
    <t>893598610</t>
  </si>
  <si>
    <t>32285001189157</t>
  </si>
  <si>
    <t>893604825</t>
  </si>
  <si>
    <t>V. 4</t>
  </si>
  <si>
    <t>32285001189223</t>
  </si>
  <si>
    <t>893592553</t>
  </si>
  <si>
    <t>V. 3</t>
  </si>
  <si>
    <t>32285001189207</t>
  </si>
  <si>
    <t>893598612</t>
  </si>
  <si>
    <t>32285001189132</t>
  </si>
  <si>
    <t>893623517</t>
  </si>
  <si>
    <t>32285001189249</t>
  </si>
  <si>
    <t>893598611</t>
  </si>
  <si>
    <t>D743 .C471 1959</t>
  </si>
  <si>
    <t>0                      D  0743000C  471         1959</t>
  </si>
  <si>
    <t>Memoirs of the Second World War : an abridgement of the six volumes of the Second World War / Winston S. Churchill ; with an epilogue by the author on the postwar years written for this volume. [Abridgement by Denis Kelly]</t>
  </si>
  <si>
    <t>Boston : Houghton Mifflin, 1959.</t>
  </si>
  <si>
    <t>1150896360:eng</t>
  </si>
  <si>
    <t>179292</t>
  </si>
  <si>
    <t>991003584219702656</t>
  </si>
  <si>
    <t>2265160090002656</t>
  </si>
  <si>
    <t>32285004334388</t>
  </si>
  <si>
    <t>893512118</t>
  </si>
  <si>
    <t>D743 .C53</t>
  </si>
  <si>
    <t>0                      D  0743000C  53</t>
  </si>
  <si>
    <t>The Second World War : a military history ; from Munich to Hiroshima / in one volume by Basil Collier.</t>
  </si>
  <si>
    <t>Collier, Basil.</t>
  </si>
  <si>
    <t>New York : Morrow, 1967.</t>
  </si>
  <si>
    <t>1995-03-29</t>
  </si>
  <si>
    <t>3902716827:eng</t>
  </si>
  <si>
    <t>1975753</t>
  </si>
  <si>
    <t>991003961829702656</t>
  </si>
  <si>
    <t>2266738770002656</t>
  </si>
  <si>
    <t>32285002014586</t>
  </si>
  <si>
    <t>893894409</t>
  </si>
  <si>
    <t>D743 .C65 1972a</t>
  </si>
  <si>
    <t>0                      D  0743000C  65          1972a</t>
  </si>
  <si>
    <t>The Marshall Cavendish illustrated encyclopedia of World War II : based on the original text by Lieutenant Colonel Eddy Bauer / consultant editor: James L. Collins.</t>
  </si>
  <si>
    <t>Bauer, Eddy.</t>
  </si>
  <si>
    <t>New York : Marshall Cavendish Corp., [c1972]</t>
  </si>
  <si>
    <t>1995-02-24</t>
  </si>
  <si>
    <t>2864417953:eng</t>
  </si>
  <si>
    <t>1284760</t>
  </si>
  <si>
    <t>991003668789702656</t>
  </si>
  <si>
    <t>2264514590002656</t>
  </si>
  <si>
    <t>32285001189264</t>
  </si>
  <si>
    <t>893705486</t>
  </si>
  <si>
    <t>32285001189256</t>
  </si>
  <si>
    <t>893699267</t>
  </si>
  <si>
    <t>1993-03-15</t>
  </si>
  <si>
    <t>32285001189306</t>
  </si>
  <si>
    <t>893699265</t>
  </si>
  <si>
    <t>32285001189280</t>
  </si>
  <si>
    <t>893693001</t>
  </si>
  <si>
    <t>32285001189413</t>
  </si>
  <si>
    <t>893692997</t>
  </si>
  <si>
    <t>32285001189348</t>
  </si>
  <si>
    <t>893693006</t>
  </si>
  <si>
    <t>1992-09-21</t>
  </si>
  <si>
    <t>32285001189314</t>
  </si>
  <si>
    <t>893722053</t>
  </si>
  <si>
    <t>32285001189363</t>
  </si>
  <si>
    <t>893699264</t>
  </si>
  <si>
    <t>32285001189272</t>
  </si>
  <si>
    <t>893699266</t>
  </si>
  <si>
    <t>32285001189322</t>
  </si>
  <si>
    <t>893711642</t>
  </si>
  <si>
    <t>32285001189330</t>
  </si>
  <si>
    <t>893693000</t>
  </si>
  <si>
    <t>32285001189371</t>
  </si>
  <si>
    <t>893692999</t>
  </si>
  <si>
    <t>32285001189447</t>
  </si>
  <si>
    <t>893692996</t>
  </si>
  <si>
    <t>32285001189421</t>
  </si>
  <si>
    <t>893693004</t>
  </si>
  <si>
    <t>1993-03-14</t>
  </si>
  <si>
    <t>1991-12-10</t>
  </si>
  <si>
    <t>32285000875145</t>
  </si>
  <si>
    <t>893693007</t>
  </si>
  <si>
    <t>32285001189397</t>
  </si>
  <si>
    <t>893693005</t>
  </si>
  <si>
    <t>32285001189389</t>
  </si>
  <si>
    <t>893692998</t>
  </si>
  <si>
    <t>32285001189298</t>
  </si>
  <si>
    <t>893722026</t>
  </si>
  <si>
    <t>32285001189439</t>
  </si>
  <si>
    <t>893693003</t>
  </si>
  <si>
    <t>32285001189454</t>
  </si>
  <si>
    <t>893693002</t>
  </si>
  <si>
    <t>32285001189355</t>
  </si>
  <si>
    <t>893722054</t>
  </si>
  <si>
    <t>D743 .D4</t>
  </si>
  <si>
    <t>0                      D  0743000D  4</t>
  </si>
  <si>
    <t>Handbook of the war / by John C. de Wilde, David H. Popper and Eunice Clark; pictorial charts by Irving Geis, maps by Richard Ely Falconer.</t>
  </si>
  <si>
    <t>De Wilde, John C. (John Charles), 1910-2000.</t>
  </si>
  <si>
    <t>Boston : Houghton Mifflin, 1939.</t>
  </si>
  <si>
    <t>178464807:eng</t>
  </si>
  <si>
    <t>1243938</t>
  </si>
  <si>
    <t>991003644499702656</t>
  </si>
  <si>
    <t>2260009550002656</t>
  </si>
  <si>
    <t>32285001688265</t>
  </si>
  <si>
    <t>893348944</t>
  </si>
  <si>
    <t>D743 .D95 1991</t>
  </si>
  <si>
    <t>0                      D  0743000D  95          1991</t>
  </si>
  <si>
    <t>War at any price : World War II in Europe, 1939-1945 / M.K. Dziewanowski.</t>
  </si>
  <si>
    <t>Dziewanowski, M. K.</t>
  </si>
  <si>
    <t>Englewood Cliffs, N.J. : Prentice-Hall, c1991.</t>
  </si>
  <si>
    <t>2002-10-31</t>
  </si>
  <si>
    <t>8229241:eng</t>
  </si>
  <si>
    <t>21670914</t>
  </si>
  <si>
    <t>991003583249702656</t>
  </si>
  <si>
    <t>2256640800002656</t>
  </si>
  <si>
    <t>9780139466588</t>
  </si>
  <si>
    <t>32285004334073</t>
  </si>
  <si>
    <t>893805947</t>
  </si>
  <si>
    <t>D743 .G86 1964</t>
  </si>
  <si>
    <t>0                      D  0743000G  86          1964</t>
  </si>
  <si>
    <t>Die Bibliographien zur Geschichte des Ersten Weltkrieges : Literaturbericht und Bibliographie / von Max Gunzenhauser.</t>
  </si>
  <si>
    <t>Gunzenhäuser, Max.</t>
  </si>
  <si>
    <t>Frankfurt am Main : Bernard &amp; Graefe Verlag für Weherwesen, 1964.</t>
  </si>
  <si>
    <t>Schriften der Bibliothek für Zeitgeschichte, Weltkriegsbücherei, Stuttgart; n. F. Der Bibliographien der Weltkriegsbücherei, Heft 3</t>
  </si>
  <si>
    <t>862853194:ger</t>
  </si>
  <si>
    <t>2350121</t>
  </si>
  <si>
    <t>991003603629702656</t>
  </si>
  <si>
    <t>2262969320002656</t>
  </si>
  <si>
    <t>32285004376934</t>
  </si>
  <si>
    <t>893705411</t>
  </si>
  <si>
    <t>D743 .H38 1998</t>
  </si>
  <si>
    <t>0                      D  0743000H  38          1998</t>
  </si>
  <si>
    <t>North Atlantic civilization at war : the World War II battles of sky, sand, snow, sea, and shore : as experienced by a soldier, a ship, and some spirits through the battles of Britain, el Alamein, Stalingrad, the Atlantic, and Normandy / Patrick Lloyd Hatcher.</t>
  </si>
  <si>
    <t>Hatcher, Patrick Lloyd.</t>
  </si>
  <si>
    <t>Armonk, N.Y. : M.E. Sharpe, c1998.</t>
  </si>
  <si>
    <t>2005-04-06</t>
  </si>
  <si>
    <t>2000-10-23</t>
  </si>
  <si>
    <t>477255440:eng</t>
  </si>
  <si>
    <t>36783797</t>
  </si>
  <si>
    <t>991003248339702656</t>
  </si>
  <si>
    <t>2256574740002656</t>
  </si>
  <si>
    <t>9780765601353</t>
  </si>
  <si>
    <t>32285003769428</t>
  </si>
  <si>
    <t>893627513</t>
  </si>
  <si>
    <t>D743 .H72 1994</t>
  </si>
  <si>
    <t>0                      D  0743000H  72          1994</t>
  </si>
  <si>
    <t>Monty : the lonely leader, 1944-1945 / Alistair Horne, with David Montgomery.</t>
  </si>
  <si>
    <t>Horne, Alistair.</t>
  </si>
  <si>
    <t>New York, NY : HarperCollins Publishers, c1994.</t>
  </si>
  <si>
    <t>1994-09-07</t>
  </si>
  <si>
    <t>1994-08-08</t>
  </si>
  <si>
    <t>8908124276:eng</t>
  </si>
  <si>
    <t>30357464</t>
  </si>
  <si>
    <t>991002332809702656</t>
  </si>
  <si>
    <t>2255085320002656</t>
  </si>
  <si>
    <t>9780060170820</t>
  </si>
  <si>
    <t>32285001941789</t>
  </si>
  <si>
    <t>893603461</t>
  </si>
  <si>
    <t>D743 .O94 1996</t>
  </si>
  <si>
    <t>0                      D  0743000O  94          1996</t>
  </si>
  <si>
    <t>Why the allies won / Richard Overy.</t>
  </si>
  <si>
    <t>New York : W.W. Norton, 1996.</t>
  </si>
  <si>
    <t>2002-11-30</t>
  </si>
  <si>
    <t>1997-04-03</t>
  </si>
  <si>
    <t>537317:eng</t>
  </si>
  <si>
    <t>33948454</t>
  </si>
  <si>
    <t>991002591299702656</t>
  </si>
  <si>
    <t>2260751850002656</t>
  </si>
  <si>
    <t>9780393039252</t>
  </si>
  <si>
    <t>32285002478831</t>
  </si>
  <si>
    <t>893691769</t>
  </si>
  <si>
    <t>D743 .P29 1990</t>
  </si>
  <si>
    <t>0                      D  0743000P  29          1990</t>
  </si>
  <si>
    <t>Struggle for survival : the history of the Second World War / R.A.C. Parker.</t>
  </si>
  <si>
    <t>Parker, Robert Alexander Clarke, 1927-</t>
  </si>
  <si>
    <t>Oxford ; New York : Oxford University Press, 1990.</t>
  </si>
  <si>
    <t>2004-04-06</t>
  </si>
  <si>
    <t>1992-09-14</t>
  </si>
  <si>
    <t>836760340:eng</t>
  </si>
  <si>
    <t>20796722</t>
  </si>
  <si>
    <t>991001616559702656</t>
  </si>
  <si>
    <t>2260095450002656</t>
  </si>
  <si>
    <t>9780192891129</t>
  </si>
  <si>
    <t>32285001287365</t>
  </si>
  <si>
    <t>893322081</t>
  </si>
  <si>
    <t>D743 .P79 1999</t>
  </si>
  <si>
    <t>0                      D  0743000P  79          1999</t>
  </si>
  <si>
    <t>The Second World War / A.W. Purdue.</t>
  </si>
  <si>
    <t>Purdue, A. W. (A. William)</t>
  </si>
  <si>
    <t>New York : St. Martin's Press, 1999.</t>
  </si>
  <si>
    <t>2000-02-29</t>
  </si>
  <si>
    <t>9592839181:eng</t>
  </si>
  <si>
    <t>40340014</t>
  </si>
  <si>
    <t>991002989469702656</t>
  </si>
  <si>
    <t>2270592020002656</t>
  </si>
  <si>
    <t>9780312222130</t>
  </si>
  <si>
    <t>32285003665576</t>
  </si>
  <si>
    <t>893336001</t>
  </si>
  <si>
    <t>D743 .P95 1986</t>
  </si>
  <si>
    <t>0                      D  0743000P  95          1986</t>
  </si>
  <si>
    <t>Ernie's war : the best of Ernie Pyle's World War II dispatches / edited with a biographical essay by David Nichols ; foreword by Studs Terkel.</t>
  </si>
  <si>
    <t>Pyle, Ernie, 1900-1945.</t>
  </si>
  <si>
    <t>New York : Random House, c1986.</t>
  </si>
  <si>
    <t>2005-09-15</t>
  </si>
  <si>
    <t>907297521:eng</t>
  </si>
  <si>
    <t>12419170</t>
  </si>
  <si>
    <t>991000683569702656</t>
  </si>
  <si>
    <t>2262107300002656</t>
  </si>
  <si>
    <t>9780394549231</t>
  </si>
  <si>
    <t>32285000271923</t>
  </si>
  <si>
    <t>893601972</t>
  </si>
  <si>
    <t>D743 .R87 1983</t>
  </si>
  <si>
    <t>0                      D  0743000R  87          1983</t>
  </si>
  <si>
    <t>The Russian version of the Second World War : the history of the war as taught to Soviet schoolchildren / edited by Graham Lyons ; translated by Marjorie Vanston.</t>
  </si>
  <si>
    <t>New York : Facts on File, [1983] c1976.</t>
  </si>
  <si>
    <t>2002-11-07</t>
  </si>
  <si>
    <t>889994611:eng</t>
  </si>
  <si>
    <t>9111615</t>
  </si>
  <si>
    <t>991000131569702656</t>
  </si>
  <si>
    <t>2266776880002656</t>
  </si>
  <si>
    <t>9780871961365</t>
  </si>
  <si>
    <t>32285000271931</t>
  </si>
  <si>
    <t>893777712</t>
  </si>
  <si>
    <t>D743 .S386 1982</t>
  </si>
  <si>
    <t>0                      D  0743000S  386         1982</t>
  </si>
  <si>
    <t>The Second World War : essays in military and political history / edited by Walter Laqueur.</t>
  </si>
  <si>
    <t>London ; Beverly Hills : Sage Publications, c1982.</t>
  </si>
  <si>
    <t>Sage readers in 20th century history ; 4</t>
  </si>
  <si>
    <t>1993-04-06</t>
  </si>
  <si>
    <t>1990-02-13</t>
  </si>
  <si>
    <t>836698784:eng</t>
  </si>
  <si>
    <t>8620939</t>
  </si>
  <si>
    <t>991000032559702656</t>
  </si>
  <si>
    <t>2267137410002656</t>
  </si>
  <si>
    <t>9780803997813</t>
  </si>
  <si>
    <t>32285000052091</t>
  </si>
  <si>
    <t>893607553</t>
  </si>
  <si>
    <t>D743 .S55 2003</t>
  </si>
  <si>
    <t>0                      D  0743000S  55          2003</t>
  </si>
  <si>
    <t>World War II on the Web : a guide to the very best sites / J. Douglas Smith and Richard Jensen.</t>
  </si>
  <si>
    <t>Smith, J. Douglas.</t>
  </si>
  <si>
    <t>Wilmington, Del. : Scholarly Resources, 2003.</t>
  </si>
  <si>
    <t>2005-03-07</t>
  </si>
  <si>
    <t>2003-02-27</t>
  </si>
  <si>
    <t>5998135:eng</t>
  </si>
  <si>
    <t>50205685</t>
  </si>
  <si>
    <t>991003974089702656</t>
  </si>
  <si>
    <t>2255329130002656</t>
  </si>
  <si>
    <t>9780842050203</t>
  </si>
  <si>
    <t>32285004707492</t>
  </si>
  <si>
    <t>893900633</t>
  </si>
  <si>
    <t>D743 .U53 1945d</t>
  </si>
  <si>
    <t>0                      D  0743000U  53          1945d</t>
  </si>
  <si>
    <t>Biennial report of the Chief of Staff of the United States Army, July 1, 1943, to June 30, 1945, to the Secretary of War.</t>
  </si>
  <si>
    <t>United States. War Department. General Staff.</t>
  </si>
  <si>
    <t>[Washington, U.S. Govt. Print. Off., 1945]</t>
  </si>
  <si>
    <t>1999-04-07</t>
  </si>
  <si>
    <t>10252329906:eng</t>
  </si>
  <si>
    <t>345678</t>
  </si>
  <si>
    <t>991002428109702656</t>
  </si>
  <si>
    <t>2269847300002656</t>
  </si>
  <si>
    <t>32285002162252</t>
  </si>
  <si>
    <t>893591337</t>
  </si>
  <si>
    <t>D743 .W44</t>
  </si>
  <si>
    <t>0                      D  0743000W  44</t>
  </si>
  <si>
    <t>Blitzkrieg / by Robert Wernick and the editors of Time-Life Books.</t>
  </si>
  <si>
    <t>Wernick, Robert.</t>
  </si>
  <si>
    <t>New York : Time-Life Books ; Morristown, N.J. : distribution by Silver Burdett, c1976.</t>
  </si>
  <si>
    <t>1992-02-04</t>
  </si>
  <si>
    <t>448915:eng</t>
  </si>
  <si>
    <t>2808703</t>
  </si>
  <si>
    <t>991004250219702656</t>
  </si>
  <si>
    <t>2266203860002656</t>
  </si>
  <si>
    <t>32285000950161</t>
  </si>
  <si>
    <t>893519422</t>
  </si>
  <si>
    <t>D743 .W49 1984</t>
  </si>
  <si>
    <t>0                      D  0743000W  49          1984</t>
  </si>
  <si>
    <t>June 1944 / H.P. Willmott.</t>
  </si>
  <si>
    <t>Willmott, H. P.</t>
  </si>
  <si>
    <t>Poole [England] : Blandford Press, 1984.</t>
  </si>
  <si>
    <t>2000-04-15</t>
  </si>
  <si>
    <t>3249661:eng</t>
  </si>
  <si>
    <t>11317092</t>
  </si>
  <si>
    <t>991000435209702656</t>
  </si>
  <si>
    <t>2256335810002656</t>
  </si>
  <si>
    <t>9780713714463</t>
  </si>
  <si>
    <t>32285000271949</t>
  </si>
  <si>
    <t>893496224</t>
  </si>
  <si>
    <t>D743.2 .D37 1989</t>
  </si>
  <si>
    <t>0                      D  0743200D  37          1989</t>
  </si>
  <si>
    <t>A cartoon war : World War Two in cartoons / Joseph Darracott.</t>
  </si>
  <si>
    <t>Darracott, Joseph.</t>
  </si>
  <si>
    <t>London : Leo Cooper, 1989.</t>
  </si>
  <si>
    <t>1991-09-06</t>
  </si>
  <si>
    <t>365141644:eng</t>
  </si>
  <si>
    <t>20418831</t>
  </si>
  <si>
    <t>991001573939702656</t>
  </si>
  <si>
    <t>2263583050002656</t>
  </si>
  <si>
    <t>9780850521658</t>
  </si>
  <si>
    <t>32285000702554</t>
  </si>
  <si>
    <t>893878973</t>
  </si>
  <si>
    <t>D743.2 .D69 1990</t>
  </si>
  <si>
    <t>0                      D  0743200D  69          1990</t>
  </si>
  <si>
    <t>The World War, 1939-1943 [i.e. 1945] : the cartoonists' vision / Roy Douglas.</t>
  </si>
  <si>
    <t>London ; New York : Routledge, 1990.</t>
  </si>
  <si>
    <t>1997-01-30</t>
  </si>
  <si>
    <t>1990-10-17</t>
  </si>
  <si>
    <t>1781784669:eng</t>
  </si>
  <si>
    <t>19630278</t>
  </si>
  <si>
    <t>991001484639702656</t>
  </si>
  <si>
    <t>2257936270002656</t>
  </si>
  <si>
    <t>9780415030496</t>
  </si>
  <si>
    <t>32285000311638</t>
  </si>
  <si>
    <t>893797602</t>
  </si>
  <si>
    <t>D743.2 .L483</t>
  </si>
  <si>
    <t>0                      D  0743200L  483</t>
  </si>
  <si>
    <t>Life goes to war : a picture history of World War II.</t>
  </si>
  <si>
    <t>Boston : Little, Brown, c1977.</t>
  </si>
  <si>
    <t>2001-02-14</t>
  </si>
  <si>
    <t>1992-01-28</t>
  </si>
  <si>
    <t>54167284:eng</t>
  </si>
  <si>
    <t>3034451</t>
  </si>
  <si>
    <t>991004325389702656</t>
  </si>
  <si>
    <t>2261268530002656</t>
  </si>
  <si>
    <t>9780316849012</t>
  </si>
  <si>
    <t>32285000899061</t>
  </si>
  <si>
    <t>893500413</t>
  </si>
  <si>
    <t>D743.2 .M6</t>
  </si>
  <si>
    <t>0                      D  0743200M  6</t>
  </si>
  <si>
    <t>World War II / an illustrated history, by Frank Monaghan.</t>
  </si>
  <si>
    <t>Monaghan, Frank, 1904-1969.</t>
  </si>
  <si>
    <t>Chicago, Ill. : J.G. Ferguson and associates, [1943- ]</t>
  </si>
  <si>
    <t>1996-10-23</t>
  </si>
  <si>
    <t>1993-05-10</t>
  </si>
  <si>
    <t>10567288512:eng</t>
  </si>
  <si>
    <t>3997973</t>
  </si>
  <si>
    <t>991004560619702656</t>
  </si>
  <si>
    <t>2265728790002656</t>
  </si>
  <si>
    <t>32285001652345</t>
  </si>
  <si>
    <t>893350158</t>
  </si>
  <si>
    <t>D743.2 .P5</t>
  </si>
  <si>
    <t>0                      D  0743200P  5</t>
  </si>
  <si>
    <t>Pictorial history of the Second World War; a photographic record of all theaters of action chronologically arranged.</t>
  </si>
  <si>
    <t>New York, W.H. Wise, 1944-49.</t>
  </si>
  <si>
    <t>1944</t>
  </si>
  <si>
    <t>2832455:eng</t>
  </si>
  <si>
    <t>6439045</t>
  </si>
  <si>
    <t>991004983209702656</t>
  </si>
  <si>
    <t>2272379810002656</t>
  </si>
  <si>
    <t>32285002330677</t>
  </si>
  <si>
    <t>893870321</t>
  </si>
  <si>
    <t>32285002330651</t>
  </si>
  <si>
    <t>893895709</t>
  </si>
  <si>
    <t>32285002330644</t>
  </si>
  <si>
    <t>893870319</t>
  </si>
  <si>
    <t>32285002330685</t>
  </si>
  <si>
    <t>893889509</t>
  </si>
  <si>
    <t>32285002330693</t>
  </si>
  <si>
    <t>893895708</t>
  </si>
  <si>
    <t>32285002330669</t>
  </si>
  <si>
    <t>893895707</t>
  </si>
  <si>
    <t>32285002330628</t>
  </si>
  <si>
    <t>893870320</t>
  </si>
  <si>
    <t>32285002330636</t>
  </si>
  <si>
    <t>893895710</t>
  </si>
  <si>
    <t>D743.2 .S54 1972</t>
  </si>
  <si>
    <t>0                      D  0743200S  54          1972</t>
  </si>
  <si>
    <t>Illustrated book of World War II: the first record in full-colour photographs. Introductions and other text by Peter Simkins.</t>
  </si>
  <si>
    <t>Simkins, Peter, 1939-</t>
  </si>
  <si>
    <t>[New York] St. Martin's Press [1972]</t>
  </si>
  <si>
    <t>1998-11-08</t>
  </si>
  <si>
    <t>1992-09-16</t>
  </si>
  <si>
    <t>1553358:eng</t>
  </si>
  <si>
    <t>533781</t>
  </si>
  <si>
    <t>991002937399702656</t>
  </si>
  <si>
    <t>2264274190002656</t>
  </si>
  <si>
    <t>32285001314359</t>
  </si>
  <si>
    <t>893251794</t>
  </si>
  <si>
    <t>D743.2 .S8</t>
  </si>
  <si>
    <t>0                      D  0743200S  8</t>
  </si>
  <si>
    <t>The American heritage picture history of World War II / by C. L. Sulzberger and the editors of American heritage. Editor in charge: David G. McCullough. Pictorial commentary: Ralph K. Andrist.</t>
  </si>
  <si>
    <t>Sulzberger, C. L. (Cyrus Leo), 1912-1993.</t>
  </si>
  <si>
    <t>[New York] : American Heritage Pub. Co.; book trade distribution by Simon and Schuster, [1966]</t>
  </si>
  <si>
    <t>1995-04-11</t>
  </si>
  <si>
    <t>137689047:eng</t>
  </si>
  <si>
    <t>192871</t>
  </si>
  <si>
    <t>991001209349702656</t>
  </si>
  <si>
    <t>2256279150002656</t>
  </si>
  <si>
    <t>32285002026473</t>
  </si>
  <si>
    <t>893878724</t>
  </si>
  <si>
    <t>D743.2 .W63 2001</t>
  </si>
  <si>
    <t>0                      D  0743200W  63          2001</t>
  </si>
  <si>
    <t>World War 2 : history's greatest conflict in pictures / edited by Richard B. Stolley.</t>
  </si>
  <si>
    <t>Boston : Little, Brown, c2001.</t>
  </si>
  <si>
    <t>2005-03-03</t>
  </si>
  <si>
    <t>351956452:eng</t>
  </si>
  <si>
    <t>49775221</t>
  </si>
  <si>
    <t>991003720059702656</t>
  </si>
  <si>
    <t>2259613520002656</t>
  </si>
  <si>
    <t>9780821227718</t>
  </si>
  <si>
    <t>32285004455225</t>
  </si>
  <si>
    <t>893512275</t>
  </si>
  <si>
    <t>D743.23 .C68 1989</t>
  </si>
  <si>
    <t>0                      D  0743230C  68          1989</t>
  </si>
  <si>
    <t>Images for battle : British film and the Second World War, 1939-1945 / Clive Coultass.</t>
  </si>
  <si>
    <t>Coultass, Clive.</t>
  </si>
  <si>
    <t>Newark : University of Delaware Press ; London : Associated University Presses, c1989.</t>
  </si>
  <si>
    <t>1999-03-16</t>
  </si>
  <si>
    <t>1989-11-16</t>
  </si>
  <si>
    <t>346342618:eng</t>
  </si>
  <si>
    <t>17200894</t>
  </si>
  <si>
    <t>991001184679702656</t>
  </si>
  <si>
    <t>2257165780002656</t>
  </si>
  <si>
    <t>9780874133349</t>
  </si>
  <si>
    <t>32285000013432</t>
  </si>
  <si>
    <t>893346319</t>
  </si>
  <si>
    <t>D743.25 .D37</t>
  </si>
  <si>
    <t>0                      D  0743250D  37</t>
  </si>
  <si>
    <t>Second World War posters / [by] Joseph Darracott and Belinda Loftus.</t>
  </si>
  <si>
    <t>[London] : Imperial War Museum, [1972]</t>
  </si>
  <si>
    <t>1994-04-29</t>
  </si>
  <si>
    <t>1700198:eng</t>
  </si>
  <si>
    <t>622835</t>
  </si>
  <si>
    <t>991003067059702656</t>
  </si>
  <si>
    <t>2255908750002656</t>
  </si>
  <si>
    <t>9780901627063</t>
  </si>
  <si>
    <t>32285001905305</t>
  </si>
  <si>
    <t>893511542</t>
  </si>
  <si>
    <t>D743.25 .P36</t>
  </si>
  <si>
    <t>0                      D  0743250P  36</t>
  </si>
  <si>
    <t>Paper bullets : great propaganda posters, Axis &amp; Allied countries WWII / [with an essay on psychological warfare by Daniel Lerner].</t>
  </si>
  <si>
    <t>New York : Chelsea House Publishers : distributed by Whirlwind Books, c1977.</t>
  </si>
  <si>
    <t>2005-02-08</t>
  </si>
  <si>
    <t>509760953:eng</t>
  </si>
  <si>
    <t>3311977</t>
  </si>
  <si>
    <t>991004403859702656</t>
  </si>
  <si>
    <t>2271560760002656</t>
  </si>
  <si>
    <t>9780877540489</t>
  </si>
  <si>
    <t>32285001894970</t>
  </si>
  <si>
    <t>893599803</t>
  </si>
  <si>
    <t>D743.7 .D8</t>
  </si>
  <si>
    <t>0                      D  0743700D  8</t>
  </si>
  <si>
    <t>The military history of World War II.</t>
  </si>
  <si>
    <t>Dupuy, Trevor N. (Trevor Nevitt), 1916-1995.</t>
  </si>
  <si>
    <t>New York, F. Watts [1962-65]</t>
  </si>
  <si>
    <t>2001-11-19</t>
  </si>
  <si>
    <t>3857842557:eng</t>
  </si>
  <si>
    <t>964979</t>
  </si>
  <si>
    <t>991003428119702656</t>
  </si>
  <si>
    <t>2261620410002656</t>
  </si>
  <si>
    <t>32285002330800</t>
  </si>
  <si>
    <t>893258411</t>
  </si>
  <si>
    <t>D743.9 .S512 1999</t>
  </si>
  <si>
    <t>0                      D  0743900S  512         1999</t>
  </si>
  <si>
    <t>"This is Berlin" : radio broadcasts from Nazi Germany / William L. Shirer ; introduction by John Keegan.</t>
  </si>
  <si>
    <t>Shirer, William L. (William Lawrence), 1904-1993.</t>
  </si>
  <si>
    <t>Woodstock, N.Y. : Overlook Press, 1999.</t>
  </si>
  <si>
    <t>2002-03-26</t>
  </si>
  <si>
    <t>2000-01-13</t>
  </si>
  <si>
    <t>4461117401:eng</t>
  </si>
  <si>
    <t>41712129</t>
  </si>
  <si>
    <t>991003036239702656</t>
  </si>
  <si>
    <t>2263016740002656</t>
  </si>
  <si>
    <t>9780879517199</t>
  </si>
  <si>
    <t>32285003641619</t>
  </si>
  <si>
    <t>893686125</t>
  </si>
  <si>
    <t>D744.4 .B87 1994</t>
  </si>
  <si>
    <t>0                      D  0744400B  87          1994</t>
  </si>
  <si>
    <t>The wages of guilt : memories of war in Germany and Japan / Ian Buruma.</t>
  </si>
  <si>
    <t>Buruma, Ian.</t>
  </si>
  <si>
    <t>New York : Farrar, Straus, and Giroux, 1994.</t>
  </si>
  <si>
    <t>1998-04-03</t>
  </si>
  <si>
    <t>31295923:eng</t>
  </si>
  <si>
    <t>29312473</t>
  </si>
  <si>
    <t>991002260259702656</t>
  </si>
  <si>
    <t>2258715120002656</t>
  </si>
  <si>
    <t>32285001942043</t>
  </si>
  <si>
    <t>893347294</t>
  </si>
  <si>
    <t>D744.4 .C37 1989</t>
  </si>
  <si>
    <t>0                      D  0744400C  37          1989</t>
  </si>
  <si>
    <t>Apostolic letter of His Holiness Pope John Paul II on the occasion of the fiftieth anniversary of the outbreak of the Second World War / John Paul II.</t>
  </si>
  <si>
    <t>Catholic Church. Pope (1978-2005 : John Paul II).</t>
  </si>
  <si>
    <t>Washington, D.C. : Office for Publishing and Promotion Services, United States Catholic Conference, [1989]</t>
  </si>
  <si>
    <t>Publication / Office for Publishing and Promotion Services, United States Catholic Conference ; no. 309-4</t>
  </si>
  <si>
    <t>1990-02-02</t>
  </si>
  <si>
    <t>9846550440:eng</t>
  </si>
  <si>
    <t>20767479</t>
  </si>
  <si>
    <t>991001615599702656</t>
  </si>
  <si>
    <t>2263921270002656</t>
  </si>
  <si>
    <t>32285000020940</t>
  </si>
  <si>
    <t>893803711</t>
  </si>
  <si>
    <t>D744.4 .P4</t>
  </si>
  <si>
    <t>0                      D  0744400P  4</t>
  </si>
  <si>
    <t>Our side is right, by Ralph Barton Perry.</t>
  </si>
  <si>
    <t>Perry, Ralph Barton, 1876-1957.</t>
  </si>
  <si>
    <t>Cambridge, Mass., Harvard university press, 1942.</t>
  </si>
  <si>
    <t>2154931:eng</t>
  </si>
  <si>
    <t>1246815</t>
  </si>
  <si>
    <t>991003645839702656</t>
  </si>
  <si>
    <t>2263121330002656</t>
  </si>
  <si>
    <t>32285002330941</t>
  </si>
  <si>
    <t>893711604</t>
  </si>
  <si>
    <t>D745.2 .M318 1983</t>
  </si>
  <si>
    <t>0                      D  0745200M  318         1983</t>
  </si>
  <si>
    <t>Bill Mauldin's army.</t>
  </si>
  <si>
    <t>Mauldin, Bill, 1921-2003.</t>
  </si>
  <si>
    <t>Novato, CA : Presidio, c1983.</t>
  </si>
  <si>
    <t>2002-04-19</t>
  </si>
  <si>
    <t>1993-12-30</t>
  </si>
  <si>
    <t>49053471:eng</t>
  </si>
  <si>
    <t>9084545</t>
  </si>
  <si>
    <t>991000127389702656</t>
  </si>
  <si>
    <t>2256470400002656</t>
  </si>
  <si>
    <t>9780891411802</t>
  </si>
  <si>
    <t>32285001818631</t>
  </si>
  <si>
    <t>893595312</t>
  </si>
  <si>
    <t>D748 .C37 1999</t>
  </si>
  <si>
    <t>0                      D  0748000C  37          1999</t>
  </si>
  <si>
    <t>1939 : the alliance that never was and the coming of World War II / Michael Jabara Carley.</t>
  </si>
  <si>
    <t>Carley, Michael Jabara, 1945-</t>
  </si>
  <si>
    <t>Chicago : I.R. Dee, 1999.</t>
  </si>
  <si>
    <t>2005-03-29</t>
  </si>
  <si>
    <t>1999-12-20</t>
  </si>
  <si>
    <t>2908553928:eng</t>
  </si>
  <si>
    <t>40964966</t>
  </si>
  <si>
    <t>991003014279702656</t>
  </si>
  <si>
    <t>2268194500002656</t>
  </si>
  <si>
    <t>9781566632522</t>
  </si>
  <si>
    <t>32285003634739</t>
  </si>
  <si>
    <t>893799289</t>
  </si>
  <si>
    <t>D748 .E57 1982</t>
  </si>
  <si>
    <t>0                      D  0748000E  57          1982</t>
  </si>
  <si>
    <t>Allies, Pearl Harbor to D-Day / John S.D. Eisenhower.</t>
  </si>
  <si>
    <t>Eisenhower, John S. D., 1922-2013.</t>
  </si>
  <si>
    <t>Garden City, N.Y. : Doubleday, 1982.</t>
  </si>
  <si>
    <t>1996-11-19</t>
  </si>
  <si>
    <t>43887:eng</t>
  </si>
  <si>
    <t>7672682</t>
  </si>
  <si>
    <t>991005147929702656</t>
  </si>
  <si>
    <t>2271406920002656</t>
  </si>
  <si>
    <t>9780385114790</t>
  </si>
  <si>
    <t>32285001189520</t>
  </si>
  <si>
    <t>893870594</t>
  </si>
  <si>
    <t>D748 .F4</t>
  </si>
  <si>
    <t>0                      D  0748000F  4</t>
  </si>
  <si>
    <t>Churchill, Roosevelt, Stalin : the war they waged and the peace they sought.</t>
  </si>
  <si>
    <t>Feis, Herbert, 1893-1972.</t>
  </si>
  <si>
    <t>Princeton, N.J. : Princeton University Press, 1957.</t>
  </si>
  <si>
    <t>1993-12-20</t>
  </si>
  <si>
    <t>440659:eng</t>
  </si>
  <si>
    <t>360698</t>
  </si>
  <si>
    <t>991002484989702656</t>
  </si>
  <si>
    <t>2263651690002656</t>
  </si>
  <si>
    <t>32285001093367</t>
  </si>
  <si>
    <t>893535029</t>
  </si>
  <si>
    <t>D748 .M48 1977</t>
  </si>
  <si>
    <t>0                      D  0748000M  48          1977</t>
  </si>
  <si>
    <t>General staffs and diplomacy before the Second World War / edited by Adrian Preston.</t>
  </si>
  <si>
    <t>Military History Symposium (Canada) (4th : 1977 : Royal Military College of Canada)</t>
  </si>
  <si>
    <t>London : C. Helm ; Totowa, N.J. : Rowman and Littlefield, 1978.</t>
  </si>
  <si>
    <t>1994-08-30</t>
  </si>
  <si>
    <t>14848981:eng</t>
  </si>
  <si>
    <t>4667280</t>
  </si>
  <si>
    <t>991004700889702656</t>
  </si>
  <si>
    <t>2258063850002656</t>
  </si>
  <si>
    <t>9780847660759</t>
  </si>
  <si>
    <t>32285001189546</t>
  </si>
  <si>
    <t>893513560</t>
  </si>
  <si>
    <t>D748 .M5 1971</t>
  </si>
  <si>
    <t>0                      D  0748000M  5           1971</t>
  </si>
  <si>
    <t>This is Pearl! The United States and Japan--1941.</t>
  </si>
  <si>
    <t>Westport, Conn., Greenwood Press [1971, c1947]</t>
  </si>
  <si>
    <t>500335:eng</t>
  </si>
  <si>
    <t>208209</t>
  </si>
  <si>
    <t>991001245309702656</t>
  </si>
  <si>
    <t>2270252730002656</t>
  </si>
  <si>
    <t>9780837157955</t>
  </si>
  <si>
    <t>32285002331030</t>
  </si>
  <si>
    <t>893590144</t>
  </si>
  <si>
    <t>D749 .E82 1985</t>
  </si>
  <si>
    <t>0                      D  0749000E  82          1985</t>
  </si>
  <si>
    <t>Summit at Teheran / Keith Eubank.</t>
  </si>
  <si>
    <t>Eubank, Keith.</t>
  </si>
  <si>
    <t>New York : W. Morrow, c1985.</t>
  </si>
  <si>
    <t>1992-03-19</t>
  </si>
  <si>
    <t>3972112:eng</t>
  </si>
  <si>
    <t>11469510</t>
  </si>
  <si>
    <t>991000538999702656</t>
  </si>
  <si>
    <t>2264353470002656</t>
  </si>
  <si>
    <t>9780688043360</t>
  </si>
  <si>
    <t>32285000271980</t>
  </si>
  <si>
    <t>893896975</t>
  </si>
  <si>
    <t>D749 .H3 1950a</t>
  </si>
  <si>
    <t>0                      D  0749000H  3           1950a</t>
  </si>
  <si>
    <t>Politics, trials, and errors.</t>
  </si>
  <si>
    <t>Hankey, Maurice Pascal Alers Hankey, Baron, 1877-1963.</t>
  </si>
  <si>
    <t>Chicago, H. Regnery [1950]</t>
  </si>
  <si>
    <t>2005-04-19</t>
  </si>
  <si>
    <t>1870706:eng</t>
  </si>
  <si>
    <t>923872</t>
  </si>
  <si>
    <t>991003387339702656</t>
  </si>
  <si>
    <t>2266384500002656</t>
  </si>
  <si>
    <t>32285002331113</t>
  </si>
  <si>
    <t>893441245</t>
  </si>
  <si>
    <t>D750 .A63 1982</t>
  </si>
  <si>
    <t>0                      D  0750000A  63          1982</t>
  </si>
  <si>
    <t>The prelude to the Truman doctrine : British policy in Greece, 1944-1947 / G.M. Alexander.</t>
  </si>
  <si>
    <t>Alexander, G. M. (George Martin), 1950-</t>
  </si>
  <si>
    <t>Oxford [Oxfordshire] : Clarendon Press ; New York : Oxford University Press, 1982.</t>
  </si>
  <si>
    <t>1999-04-09</t>
  </si>
  <si>
    <t>863758664:eng</t>
  </si>
  <si>
    <t>8388673</t>
  </si>
  <si>
    <t>991005237639702656</t>
  </si>
  <si>
    <t>2261636450002656</t>
  </si>
  <si>
    <t>9780198226536</t>
  </si>
  <si>
    <t>32285001189553</t>
  </si>
  <si>
    <t>893520686</t>
  </si>
  <si>
    <t>D750 .K47 1982</t>
  </si>
  <si>
    <t>0                      D  0750000K  47          1982</t>
  </si>
  <si>
    <t>Churchill and De Gaulle / François Kersaudy.</t>
  </si>
  <si>
    <t>Kersaudy, François, 1948-</t>
  </si>
  <si>
    <t>New York : Atheneum, 1982, c1981.</t>
  </si>
  <si>
    <t>1997-04-20</t>
  </si>
  <si>
    <t>437764:eng</t>
  </si>
  <si>
    <t>7875468</t>
  </si>
  <si>
    <t>991005171639702656</t>
  </si>
  <si>
    <t>2268235370002656</t>
  </si>
  <si>
    <t>9780689112652</t>
  </si>
  <si>
    <t>32285000272012</t>
  </si>
  <si>
    <t>893230315</t>
  </si>
  <si>
    <t>D750 .K49 2004</t>
  </si>
  <si>
    <t>0                      D  0750000K  49          2004</t>
  </si>
  <si>
    <t>Making friends with Hitler : Lord Londonderry, the Nazis, and the road to World War II / Ian Kershaw.</t>
  </si>
  <si>
    <t>Kershaw, Ian.</t>
  </si>
  <si>
    <t>New York : Penguin Press, 2004.</t>
  </si>
  <si>
    <t>2005-01-31</t>
  </si>
  <si>
    <t>9965103945:eng</t>
  </si>
  <si>
    <t>55016737</t>
  </si>
  <si>
    <t>991004455279702656</t>
  </si>
  <si>
    <t>2260400300002656</t>
  </si>
  <si>
    <t>9781594200304</t>
  </si>
  <si>
    <t>32285005024079</t>
  </si>
  <si>
    <t>893436303</t>
  </si>
  <si>
    <t>D750 .L85 1999</t>
  </si>
  <si>
    <t>0                      D  0750000L  85          1999</t>
  </si>
  <si>
    <t>Five days in London, May 1940 / John Lukacs.</t>
  </si>
  <si>
    <t>New Haven [Conn.] : Yale University Press, c1999.</t>
  </si>
  <si>
    <t>1999-10-28</t>
  </si>
  <si>
    <t>7176791:eng</t>
  </si>
  <si>
    <t>41176705</t>
  </si>
  <si>
    <t>991003021569702656</t>
  </si>
  <si>
    <t>2259249170002656</t>
  </si>
  <si>
    <t>9780300080308</t>
  </si>
  <si>
    <t>32285003615431</t>
  </si>
  <si>
    <t>893710970</t>
  </si>
  <si>
    <t>D750 .S57 1986</t>
  </si>
  <si>
    <t>0                      D  0750000S  57          1986</t>
  </si>
  <si>
    <t>Diplomacy and strategy of survival : British policy and Franco's Spain, 1940-41 / Denis Smyth.</t>
  </si>
  <si>
    <t>Smyth, Denis, 1948-</t>
  </si>
  <si>
    <t>Cambridge [Cambridgeshire] ; New York : Cambridge University Press, 1986.</t>
  </si>
  <si>
    <t>1990-04-23</t>
  </si>
  <si>
    <t>836720260:eng</t>
  </si>
  <si>
    <t>12236828</t>
  </si>
  <si>
    <t>991000659799702656</t>
  </si>
  <si>
    <t>2261218970002656</t>
  </si>
  <si>
    <t>9780521228190</t>
  </si>
  <si>
    <t>32285000123132</t>
  </si>
  <si>
    <t>893249552</t>
  </si>
  <si>
    <t>D750 .T43 1979</t>
  </si>
  <si>
    <t>0                      D  0750000T  43          1979</t>
  </si>
  <si>
    <t>Britain and Vichy : the dilemma of Anglo-French relations, 1940-42 / R. T. Thomas.</t>
  </si>
  <si>
    <t>Thomas, R. T.</t>
  </si>
  <si>
    <t>New York : St. Martin's Press, 1979.</t>
  </si>
  <si>
    <t>889336787:eng</t>
  </si>
  <si>
    <t>4135921</t>
  </si>
  <si>
    <t>991004593729702656</t>
  </si>
  <si>
    <t>2254800380002656</t>
  </si>
  <si>
    <t>9780312098223</t>
  </si>
  <si>
    <t>32285001189611</t>
  </si>
  <si>
    <t>893888932</t>
  </si>
  <si>
    <t>D751 .L4 1989</t>
  </si>
  <si>
    <t>0                      D  0751000L  4           1989</t>
  </si>
  <si>
    <t>Betrayal : the Hitler-Stalin pact of 1939 / Wolfgang Leonhard ; translated by Richard D. Bosley.</t>
  </si>
  <si>
    <t>Leonhard, Wolfgang.</t>
  </si>
  <si>
    <t>New York : St. Martin's Press, c1989.</t>
  </si>
  <si>
    <t>1990-05-10</t>
  </si>
  <si>
    <t>10567181105:eng</t>
  </si>
  <si>
    <t>19127449</t>
  </si>
  <si>
    <t>991001434869702656</t>
  </si>
  <si>
    <t>2272393830002656</t>
  </si>
  <si>
    <t>9780312028688</t>
  </si>
  <si>
    <t>32285000136324</t>
  </si>
  <si>
    <t>893261835</t>
  </si>
  <si>
    <t>D752 .A36 1988</t>
  </si>
  <si>
    <t>0                      D  0752000A  36          1988</t>
  </si>
  <si>
    <t>Roosevelt and de Gaulle : allies in conflict : a personal memoir / Raoul Aglion.</t>
  </si>
  <si>
    <t>Aglion, Raoul.</t>
  </si>
  <si>
    <t>New York : Free Press ; London : Collier Macmillan, c1988.</t>
  </si>
  <si>
    <t>1992-03-21</t>
  </si>
  <si>
    <t>1990-01-31</t>
  </si>
  <si>
    <t>836722613:eng</t>
  </si>
  <si>
    <t>16754664</t>
  </si>
  <si>
    <t>991001142929702656</t>
  </si>
  <si>
    <t>2263660690002656</t>
  </si>
  <si>
    <t>9780029015407</t>
  </si>
  <si>
    <t>32285000031392</t>
  </si>
  <si>
    <t>893407886</t>
  </si>
  <si>
    <t>D753 .B45 1990</t>
  </si>
  <si>
    <t>0                      D  0753000B  45          1990</t>
  </si>
  <si>
    <t>Franklin D. Roosevelt and the search for victory : American-Soviet relations, 1939-1945 / Edward M. Bennett.</t>
  </si>
  <si>
    <t>Bennett, Edward M. (Edward Moore), 1927-2013.</t>
  </si>
  <si>
    <t>Wilmington, Del. : SR Books, 1990.</t>
  </si>
  <si>
    <t>2005-02-12</t>
  </si>
  <si>
    <t>1993-12-29</t>
  </si>
  <si>
    <t>1026741:eng</t>
  </si>
  <si>
    <t>21517471</t>
  </si>
  <si>
    <t>991001698219702656</t>
  </si>
  <si>
    <t>2268319750002656</t>
  </si>
  <si>
    <t>9780719013430</t>
  </si>
  <si>
    <t>32285001818391</t>
  </si>
  <si>
    <t>893690823</t>
  </si>
  <si>
    <t>D753 .D56</t>
  </si>
  <si>
    <t>0                      D  0753000D  56</t>
  </si>
  <si>
    <t>Causes and consequences of World War II / edited with an introd. by Robert A. Divine.</t>
  </si>
  <si>
    <t>Divine, Robert A. compiler.</t>
  </si>
  <si>
    <t>Chicago : Quadrangle Books, 1969.</t>
  </si>
  <si>
    <t>1993-05-19</t>
  </si>
  <si>
    <t>1216137:eng</t>
  </si>
  <si>
    <t>46657</t>
  </si>
  <si>
    <t>991000106489702656</t>
  </si>
  <si>
    <t>2262050100002656</t>
  </si>
  <si>
    <t>32285001583011</t>
  </si>
  <si>
    <t>893425432</t>
  </si>
  <si>
    <t>D753 .F5</t>
  </si>
  <si>
    <t>0                      D  0753000F  5</t>
  </si>
  <si>
    <t>FDR : the other side of the coin : how we were tricked into World War II / Hamilton Fish.</t>
  </si>
  <si>
    <t>Fish, Hamilton, 1888-1991.</t>
  </si>
  <si>
    <t>New York : Vantage Press, c1976.</t>
  </si>
  <si>
    <t>2002-04-14</t>
  </si>
  <si>
    <t>1996-09-13</t>
  </si>
  <si>
    <t>48253446:eng</t>
  </si>
  <si>
    <t>2440262</t>
  </si>
  <si>
    <t>991004124889702656</t>
  </si>
  <si>
    <t>2269534940002656</t>
  </si>
  <si>
    <t>9780533022205</t>
  </si>
  <si>
    <t>32285002331303</t>
  </si>
  <si>
    <t>893706028</t>
  </si>
  <si>
    <t>D753 .K5</t>
  </si>
  <si>
    <t>0                      D  0753000K  5</t>
  </si>
  <si>
    <t>The most unsordid act; lend-lease, 1939-1941 [by] Warren F. Kimball.</t>
  </si>
  <si>
    <t>Kimball, Warren F.</t>
  </si>
  <si>
    <t>Baltimore, Johns Hopkins Press [1969]</t>
  </si>
  <si>
    <t>1995-04-10</t>
  </si>
  <si>
    <t>1992-03-31</t>
  </si>
  <si>
    <t>840761896:eng</t>
  </si>
  <si>
    <t>12228</t>
  </si>
  <si>
    <t>991000003659702656</t>
  </si>
  <si>
    <t>2265056860002656</t>
  </si>
  <si>
    <t>9780801810176</t>
  </si>
  <si>
    <t>32285000529932</t>
  </si>
  <si>
    <t>893224657</t>
  </si>
  <si>
    <t>D753 .L27 1976</t>
  </si>
  <si>
    <t>0                      D  0753000L  27          1976</t>
  </si>
  <si>
    <t>Roosevelt and Churchill, 1939-1941 : the partnership that saved the West / Joseph P. Lash.</t>
  </si>
  <si>
    <t>Lash, Joseph P., 1909-1987.</t>
  </si>
  <si>
    <t>New York : Norton, c1976.</t>
  </si>
  <si>
    <t>1st trade ed.</t>
  </si>
  <si>
    <t>1992-05-05</t>
  </si>
  <si>
    <t>836653381:eng</t>
  </si>
  <si>
    <t>2284149</t>
  </si>
  <si>
    <t>991004066349702656</t>
  </si>
  <si>
    <t>2266524300002656</t>
  </si>
  <si>
    <t>9780393055948</t>
  </si>
  <si>
    <t>32285001093318</t>
  </si>
  <si>
    <t>893605588</t>
  </si>
  <si>
    <t>D753 .L85</t>
  </si>
  <si>
    <t>0                      D  0753000L  85</t>
  </si>
  <si>
    <t>The strange allies, the United States and Poland, 1941-1945 / Richard C. Lukas.</t>
  </si>
  <si>
    <t>Lukas, Richard C., 1937-</t>
  </si>
  <si>
    <t>Knoxville : University of Tennessee Press, c1978.</t>
  </si>
  <si>
    <t>6702634:eng</t>
  </si>
  <si>
    <t>3002775</t>
  </si>
  <si>
    <t>991004314129702656</t>
  </si>
  <si>
    <t>2272162670002656</t>
  </si>
  <si>
    <t>9780870492297</t>
  </si>
  <si>
    <t>32285001093300</t>
  </si>
  <si>
    <t>893411371</t>
  </si>
  <si>
    <t>D753 .M42 2003</t>
  </si>
  <si>
    <t>0                      D  0753000M  42          2003</t>
  </si>
  <si>
    <t>Franklin and Winston : an intimate portrait of an epic friendship / Jon Meacham.</t>
  </si>
  <si>
    <t>Meacham, Jon.</t>
  </si>
  <si>
    <t>New York : Random House, c2003.</t>
  </si>
  <si>
    <t>2003-11-18</t>
  </si>
  <si>
    <t>794222112:eng</t>
  </si>
  <si>
    <t>51476868</t>
  </si>
  <si>
    <t>991004174459702656</t>
  </si>
  <si>
    <t>2256187590002656</t>
  </si>
  <si>
    <t>9780375505003</t>
  </si>
  <si>
    <t>32285004799226</t>
  </si>
  <si>
    <t>893900908</t>
  </si>
  <si>
    <t>D753 .R87 1972</t>
  </si>
  <si>
    <t>0                      D  0753000R  87          1972</t>
  </si>
  <si>
    <t>No clear and present danger : a skeptical view of the United States entry into World War II / Bruce M. Russett.</t>
  </si>
  <si>
    <t>Russett, Bruce M.</t>
  </si>
  <si>
    <t>New York : Harper &amp; Row, [1972]</t>
  </si>
  <si>
    <t>Harper torchbooks ; TB1649</t>
  </si>
  <si>
    <t>1992-10-19</t>
  </si>
  <si>
    <t>404098:eng</t>
  </si>
  <si>
    <t>258559</t>
  </si>
  <si>
    <t>991002007679702656</t>
  </si>
  <si>
    <t>2271523360002656</t>
  </si>
  <si>
    <t>9780061316494</t>
  </si>
  <si>
    <t>32285001372035</t>
  </si>
  <si>
    <t>893503915</t>
  </si>
  <si>
    <t>D753 .S33</t>
  </si>
  <si>
    <t>0                      D  0753000S  33</t>
  </si>
  <si>
    <t>Getting US into war / by Porter Sargent.</t>
  </si>
  <si>
    <t>Sargent, Porter.</t>
  </si>
  <si>
    <t>Boston, Mass. : P. Sargent, [c1941]</t>
  </si>
  <si>
    <t>2157874:eng</t>
  </si>
  <si>
    <t>1248674</t>
  </si>
  <si>
    <t>991003646669702656</t>
  </si>
  <si>
    <t>2264163620002656</t>
  </si>
  <si>
    <t>32285000089325</t>
  </si>
  <si>
    <t>893429030</t>
  </si>
  <si>
    <t>D753 .S34 2003</t>
  </si>
  <si>
    <t>0                      D  0753000S  34          2003</t>
  </si>
  <si>
    <t>A story of America First : the men and women who opposed U.S. intervention in World War II / Ruth Sarles ; edited with an introduction by Bill Kauffman.</t>
  </si>
  <si>
    <t>Sarles, Ruth, 1906-1996.</t>
  </si>
  <si>
    <t>Westport, Conn. : Praeger, 2003.</t>
  </si>
  <si>
    <t>2004-03-01</t>
  </si>
  <si>
    <t>2587258:eng</t>
  </si>
  <si>
    <t>48544186</t>
  </si>
  <si>
    <t>991004241639702656</t>
  </si>
  <si>
    <t>2269316050002656</t>
  </si>
  <si>
    <t>9780275975128</t>
  </si>
  <si>
    <t>32285004891163</t>
  </si>
  <si>
    <t>893599603</t>
  </si>
  <si>
    <t>D753 .S37 1983</t>
  </si>
  <si>
    <t>0                      D  0753000S  37          1983</t>
  </si>
  <si>
    <t>Anglo-American relations and colonialism in east Asia, 1941-1945 / John J. Sbrega.</t>
  </si>
  <si>
    <t>Sbrega, John J. (John Joseph), 1941-</t>
  </si>
  <si>
    <t>New York : Garland Pub., 1983.</t>
  </si>
  <si>
    <t>Modern American history</t>
  </si>
  <si>
    <t>1993-09-30</t>
  </si>
  <si>
    <t>1992-07-14</t>
  </si>
  <si>
    <t>146810409:eng</t>
  </si>
  <si>
    <t>9682784</t>
  </si>
  <si>
    <t>991000239409702656</t>
  </si>
  <si>
    <t>2264113050002656</t>
  </si>
  <si>
    <t>9780824056629</t>
  </si>
  <si>
    <t>32285001210102</t>
  </si>
  <si>
    <t>893601613</t>
  </si>
  <si>
    <t>D753 .S485 1995</t>
  </si>
  <si>
    <t>0                      D  0753000S  485         1995</t>
  </si>
  <si>
    <t>Hard bargain : how FDR twisted Churchill's arm, evaded the law, and changed the role of the American presidency / Robert Shogan.</t>
  </si>
  <si>
    <t>Shogan, Robert.</t>
  </si>
  <si>
    <t>New York : Scribner, c1995.</t>
  </si>
  <si>
    <t>1995-06-02</t>
  </si>
  <si>
    <t>28043139:eng</t>
  </si>
  <si>
    <t>31816261</t>
  </si>
  <si>
    <t>991002441219702656</t>
  </si>
  <si>
    <t>2262084030002656</t>
  </si>
  <si>
    <t>9780689121609</t>
  </si>
  <si>
    <t>32285002049426</t>
  </si>
  <si>
    <t>893697782</t>
  </si>
  <si>
    <t>D753 .S77</t>
  </si>
  <si>
    <t>0                      D  0753000S  77</t>
  </si>
  <si>
    <t>Lend-lease, weapon for victory / by Edward R. Stettinius, jr.</t>
  </si>
  <si>
    <t>New York : The Macmillan company, 1944.</t>
  </si>
  <si>
    <t>1535387:eng</t>
  </si>
  <si>
    <t>394271</t>
  </si>
  <si>
    <t>991002668229702656</t>
  </si>
  <si>
    <t>2260103390002656</t>
  </si>
  <si>
    <t>32285001690253</t>
  </si>
  <si>
    <t>893341709</t>
  </si>
  <si>
    <t>D753.2.G7 D63 1986</t>
  </si>
  <si>
    <t>0                      D  0753200G  7                  D  63          1986</t>
  </si>
  <si>
    <t>US wartime aid to Britain, 1940-1946 / Alan P. Dobson.</t>
  </si>
  <si>
    <t>Dobson, Alan P.</t>
  </si>
  <si>
    <t>5874076:eng</t>
  </si>
  <si>
    <t>12947797</t>
  </si>
  <si>
    <t>991000756359702656</t>
  </si>
  <si>
    <t>2256713450002656</t>
  </si>
  <si>
    <t>9780312833190</t>
  </si>
  <si>
    <t>32285000272046</t>
  </si>
  <si>
    <t>893608251</t>
  </si>
  <si>
    <t>D753.2.R9 H47</t>
  </si>
  <si>
    <t>0                      D  0753200R  9                  H  47</t>
  </si>
  <si>
    <t>Aid to Russia, 1941-1946 : strategy, diplomacy, the origins of the cold war / [by] George C. Herring, Jr.</t>
  </si>
  <si>
    <t>Herring, George C., 1936-</t>
  </si>
  <si>
    <t>New York : Columbia University Press, 1973.</t>
  </si>
  <si>
    <t>Contemporary American history series</t>
  </si>
  <si>
    <t>1994-11-07</t>
  </si>
  <si>
    <t>794991551:eng</t>
  </si>
  <si>
    <t>495114</t>
  </si>
  <si>
    <t>991002864429702656</t>
  </si>
  <si>
    <t>2255609180002656</t>
  </si>
  <si>
    <t>9780231033367</t>
  </si>
  <si>
    <t>32285001093292</t>
  </si>
  <si>
    <t>893245745</t>
  </si>
  <si>
    <t>D753.3 .D63 2004</t>
  </si>
  <si>
    <t>0                      D  0753300D  63          2004</t>
  </si>
  <si>
    <t>Saboteurs : the Nazi raid on America / Michael Dobbs.</t>
  </si>
  <si>
    <t>Dobbs, Michael, 1950-</t>
  </si>
  <si>
    <t>New York : Knopf, 2004.</t>
  </si>
  <si>
    <t>2005-04-07</t>
  </si>
  <si>
    <t>2004-03-23</t>
  </si>
  <si>
    <t>502171433:eng</t>
  </si>
  <si>
    <t>52464740</t>
  </si>
  <si>
    <t>991004254839702656</t>
  </si>
  <si>
    <t>2255015120002656</t>
  </si>
  <si>
    <t>9780375414701</t>
  </si>
  <si>
    <t>32285004895701</t>
  </si>
  <si>
    <t>893706160</t>
  </si>
  <si>
    <t>D754.A34 A34 1986</t>
  </si>
  <si>
    <t>0                      D  0754000A  34                 A  34          1986</t>
  </si>
  <si>
    <t>Africa and the Second World War / edited by David Killingray and Richard Rathbone.</t>
  </si>
  <si>
    <t>2001-02-20</t>
  </si>
  <si>
    <t>353919071:eng</t>
  </si>
  <si>
    <t>12972571</t>
  </si>
  <si>
    <t>991000760119702656</t>
  </si>
  <si>
    <t>2263880340002656</t>
  </si>
  <si>
    <t>9780312009410</t>
  </si>
  <si>
    <t>32285000272053</t>
  </si>
  <si>
    <t>893595862</t>
  </si>
  <si>
    <t>D754.A34 C6 1942</t>
  </si>
  <si>
    <t>0                      D  0754000A  34                 C  6           1942</t>
  </si>
  <si>
    <t>The Atlantic charter and Africa from an American standpoint; a study by the Committee on Africa, the War, and Peace Aims. The application of the "eight points" of the charter to the problems of Africa, and especially those related to the welfare of the African people living south of the Sahara, with related material on African conditions and needs.</t>
  </si>
  <si>
    <t>Committee on Africa, the War, and Peace Aims.</t>
  </si>
  <si>
    <t>64383842:eng</t>
  </si>
  <si>
    <t>372196</t>
  </si>
  <si>
    <t>991002563789702656</t>
  </si>
  <si>
    <t>2261694370002656</t>
  </si>
  <si>
    <t>32285002828878</t>
  </si>
  <si>
    <t>893347640</t>
  </si>
  <si>
    <t>D754.B8 M3</t>
  </si>
  <si>
    <t>0                      D  0754000B  8                  M  3</t>
  </si>
  <si>
    <t>The Brazilian-American alliance, 1937-1945 [by] Frank D. McCann, Jr.</t>
  </si>
  <si>
    <t>McCann, Frank D.</t>
  </si>
  <si>
    <t>[Princeton, N.J.] Princeton University Press, [1974, c1973]</t>
  </si>
  <si>
    <t>2007-03-06</t>
  </si>
  <si>
    <t>441617:eng</t>
  </si>
  <si>
    <t>672974</t>
  </si>
  <si>
    <t>991003129539702656</t>
  </si>
  <si>
    <t>2267842700002656</t>
  </si>
  <si>
    <t>9780691056555</t>
  </si>
  <si>
    <t>32285002331410</t>
  </si>
  <si>
    <t>893793351</t>
  </si>
  <si>
    <t>D754.I5 I66 2000</t>
  </si>
  <si>
    <t>0                      D  0754000I  5                  I  66          2000</t>
  </si>
  <si>
    <t>Ireland and the Second World War : politics, society and remembrance / Brian Girvin and Geoffrey Roberts, editors.</t>
  </si>
  <si>
    <t>Dublin ; Portland, OR : Four Courts Press, c2000.</t>
  </si>
  <si>
    <t xml:space="preserve">ie </t>
  </si>
  <si>
    <t>2002-05-02</t>
  </si>
  <si>
    <t>2002-03-04</t>
  </si>
  <si>
    <t>837047778:eng</t>
  </si>
  <si>
    <t>42003681</t>
  </si>
  <si>
    <t>991003731879702656</t>
  </si>
  <si>
    <t>2272790560002656</t>
  </si>
  <si>
    <t>9781851824823</t>
  </si>
  <si>
    <t>32285004458906</t>
  </si>
  <si>
    <t>893228385</t>
  </si>
  <si>
    <t>D754.R9 D4</t>
  </si>
  <si>
    <t>0                      D  0754000R  9                  D  4</t>
  </si>
  <si>
    <t>The strange alliance : the story of our efforts at wartime co-operation with Russia / by John R. Deane.</t>
  </si>
  <si>
    <t>Deane, John R. (John Russell), 1896-1982.</t>
  </si>
  <si>
    <t>New York : The Viking Press, 1947.</t>
  </si>
  <si>
    <t>1992-04-10</t>
  </si>
  <si>
    <t>1989-11-29</t>
  </si>
  <si>
    <t>10076789754:eng</t>
  </si>
  <si>
    <t>1027303</t>
  </si>
  <si>
    <t>991003480339702656</t>
  </si>
  <si>
    <t>2255798700002656</t>
  </si>
  <si>
    <t>32285000016021</t>
  </si>
  <si>
    <t>893887505</t>
  </si>
  <si>
    <t>D754.S7 B43 1986</t>
  </si>
  <si>
    <t>0                      D  0754000S  7                  B  43          1986</t>
  </si>
  <si>
    <t>Franco : silent ally in World War II / Willard L. Beaulac.</t>
  </si>
  <si>
    <t>Beaulac, Willard Leon, 1899-</t>
  </si>
  <si>
    <t>Carbondale : Southern Illinois University Press, c1986.</t>
  </si>
  <si>
    <t>1995-11-29</t>
  </si>
  <si>
    <t>5603632:eng</t>
  </si>
  <si>
    <t>12972552</t>
  </si>
  <si>
    <t>991000760089702656</t>
  </si>
  <si>
    <t>2263887740002656</t>
  </si>
  <si>
    <t>9780809312542</t>
  </si>
  <si>
    <t>32285001210185</t>
  </si>
  <si>
    <t>893321322</t>
  </si>
  <si>
    <t>D754.S9 C4613  2001</t>
  </si>
  <si>
    <t>0                      D  0754000S  9                  C  4613        2001</t>
  </si>
  <si>
    <t>The challenge of neutrality : diplomacy and the defense of Switzerland / by Georges-André Chevallaz ; translated by Harvey Fergusson II ; foreword by Joseph E. Persico.</t>
  </si>
  <si>
    <t>Chevallaz, Georges André.</t>
  </si>
  <si>
    <t>Lanham, Md. : Lexington Books, c2001.</t>
  </si>
  <si>
    <t>2715161:eng</t>
  </si>
  <si>
    <t>46729338</t>
  </si>
  <si>
    <t>991003886319702656</t>
  </si>
  <si>
    <t>2256427600002656</t>
  </si>
  <si>
    <t>9780739102749</t>
  </si>
  <si>
    <t>32285004647565</t>
  </si>
  <si>
    <t>893888038</t>
  </si>
  <si>
    <t>D754.S9 H35 1998</t>
  </si>
  <si>
    <t>0                      D  0754000S  9                  H  35          1998</t>
  </si>
  <si>
    <t>Target Switzerland : Swiss armed neutrality in World War II / by Stephen P. Halbrook.</t>
  </si>
  <si>
    <t>Halbrook, Stephen P.</t>
  </si>
  <si>
    <t>Rockville Centre, NY : Sarpedon, c1998.</t>
  </si>
  <si>
    <t>1998-11-02</t>
  </si>
  <si>
    <t>1998-08-27</t>
  </si>
  <si>
    <t>16325694:eng</t>
  </si>
  <si>
    <t>39677467</t>
  </si>
  <si>
    <t>991002965249702656</t>
  </si>
  <si>
    <t>2263886390002656</t>
  </si>
  <si>
    <t>9781885119537</t>
  </si>
  <si>
    <t>32285003463519</t>
  </si>
  <si>
    <t>893239738</t>
  </si>
  <si>
    <t>D754.S9 R48 2001</t>
  </si>
  <si>
    <t>0                      D  0754000S  9                  R  48          2001</t>
  </si>
  <si>
    <t>Retrospectives on Switzerland in World War Two / edited by Donald P. Hilty.</t>
  </si>
  <si>
    <t>Rockport, Me. : Picton Press, c2001.</t>
  </si>
  <si>
    <t>36722485:eng</t>
  </si>
  <si>
    <t>47443721</t>
  </si>
  <si>
    <t>991003886379702656</t>
  </si>
  <si>
    <t>2257091940002656</t>
  </si>
  <si>
    <t>9780897254472</t>
  </si>
  <si>
    <t>32285004647557</t>
  </si>
  <si>
    <t>893228605</t>
  </si>
  <si>
    <t>D754.S9 U76 2002</t>
  </si>
  <si>
    <t>0                      D  0754000S  9                  U  76          2002</t>
  </si>
  <si>
    <t>Let's swallow Switzerland! : Hitler's plans against the Swiss Confederation / Klaus Urner ; translated by Lotti N. Eichhorn.</t>
  </si>
  <si>
    <t>Urner, Klaus, 1942-</t>
  </si>
  <si>
    <t>Lanham, Md. : Lexington Books, c2002.</t>
  </si>
  <si>
    <t>2004-10-13</t>
  </si>
  <si>
    <t>1152188298:eng</t>
  </si>
  <si>
    <t>46472272</t>
  </si>
  <si>
    <t>991003886289702656</t>
  </si>
  <si>
    <t>2262636450002656</t>
  </si>
  <si>
    <t>9780739102558</t>
  </si>
  <si>
    <t>32285004647540</t>
  </si>
  <si>
    <t>893441883</t>
  </si>
  <si>
    <t>D755.1 .S53 1982</t>
  </si>
  <si>
    <t>0                      D  0755100S  53          1982</t>
  </si>
  <si>
    <t>The phony war, 1939 to 1940 / by Tom Shachtman.</t>
  </si>
  <si>
    <t>Shachtman, Tom, 1942-</t>
  </si>
  <si>
    <t>New York : Harper &amp; Row, c1982.</t>
  </si>
  <si>
    <t>1996-09-24</t>
  </si>
  <si>
    <t>534155:eng</t>
  </si>
  <si>
    <t>7836196</t>
  </si>
  <si>
    <t>991005166909702656</t>
  </si>
  <si>
    <t>2255364580002656</t>
  </si>
  <si>
    <t>9780060380366</t>
  </si>
  <si>
    <t>32285000272079</t>
  </si>
  <si>
    <t>893430975</t>
  </si>
  <si>
    <t>D755.2 .M67 2003</t>
  </si>
  <si>
    <t>0                      D  0755200M  67          2003</t>
  </si>
  <si>
    <t>Nineteen weeks : America, Britain, and the fateful summer of 1940 / Norman Moss.</t>
  </si>
  <si>
    <t>Moss, Norman.</t>
  </si>
  <si>
    <t>Boston : Houghton Mifflin, 2003.</t>
  </si>
  <si>
    <t>2004-05-11</t>
  </si>
  <si>
    <t>2003-07-31</t>
  </si>
  <si>
    <t>234022346:eng</t>
  </si>
  <si>
    <t>51204138</t>
  </si>
  <si>
    <t>991004090959702656</t>
  </si>
  <si>
    <t>2272217070002656</t>
  </si>
  <si>
    <t>9780618104710</t>
  </si>
  <si>
    <t>32285004758388</t>
  </si>
  <si>
    <t>893894547</t>
  </si>
  <si>
    <t>D755.2 .T48</t>
  </si>
  <si>
    <t>0                      D  0755200T  48</t>
  </si>
  <si>
    <t>1940, by Laurence Thompson.</t>
  </si>
  <si>
    <t>Thompson, Laurence Victor, 1914-</t>
  </si>
  <si>
    <t>New York, Morrow [1966]</t>
  </si>
  <si>
    <t>4020165606:eng</t>
  </si>
  <si>
    <t>394314</t>
  </si>
  <si>
    <t>991002668419702656</t>
  </si>
  <si>
    <t>2260096830002656</t>
  </si>
  <si>
    <t>32285002331501</t>
  </si>
  <si>
    <t>893698079</t>
  </si>
  <si>
    <t>D755.7 .L83 1986</t>
  </si>
  <si>
    <t>0                      D  0755700L  83          1986</t>
  </si>
  <si>
    <t>Last days of the Third Reich : the collapse of Nazi Germany, May 1945 / James Lucas ; foreword by Sir Bernard Braine ; [maps and diagrams by Anthony A. Evans].</t>
  </si>
  <si>
    <t>New York : W. Morrow, c1986.</t>
  </si>
  <si>
    <t>2005-10-14</t>
  </si>
  <si>
    <t>505079934:eng</t>
  </si>
  <si>
    <t>13821694</t>
  </si>
  <si>
    <t>991003995259702656</t>
  </si>
  <si>
    <t>2266692360002656</t>
  </si>
  <si>
    <t>9780688066383</t>
  </si>
  <si>
    <t>32285004698758</t>
  </si>
  <si>
    <t>893410984</t>
  </si>
  <si>
    <t>D755.7 .W44 1995</t>
  </si>
  <si>
    <t>0                      D  0755700W  44          1995</t>
  </si>
  <si>
    <t>The last great victory : the end of World War II, July-August 1945 / Stanley Weintraub.</t>
  </si>
  <si>
    <t>Weintraub, Stanley, 1929-2019.</t>
  </si>
  <si>
    <t>New York : Truman Talley Books, 1995.</t>
  </si>
  <si>
    <t>1995-10-10</t>
  </si>
  <si>
    <t>1995-08-22</t>
  </si>
  <si>
    <t>23821840:eng</t>
  </si>
  <si>
    <t>31610439</t>
  </si>
  <si>
    <t>991002427469702656</t>
  </si>
  <si>
    <t>2258824840002656</t>
  </si>
  <si>
    <t>9780525936879</t>
  </si>
  <si>
    <t>32285002078581</t>
  </si>
  <si>
    <t>893809483</t>
  </si>
  <si>
    <t>D756 .E39</t>
  </si>
  <si>
    <t>0                      D  0756000E  39</t>
  </si>
  <si>
    <t>Victory in the West / by L. F. Ellis with G. R. G. Allen, A. E. Warhurst [and] Sir James Robb.</t>
  </si>
  <si>
    <t>Ellis, L. F. (Lionel Frederic), 1885-1970.</t>
  </si>
  <si>
    <t>London : H. M. Stationery Off., 1962-68.</t>
  </si>
  <si>
    <t>History of the Second World War. United Kingdom military series</t>
  </si>
  <si>
    <t>1996-11-06</t>
  </si>
  <si>
    <t>4241664812:eng</t>
  </si>
  <si>
    <t>177760</t>
  </si>
  <si>
    <t>991001058069702656</t>
  </si>
  <si>
    <t>2266359440002656</t>
  </si>
  <si>
    <t>32285001210227</t>
  </si>
  <si>
    <t>893885003</t>
  </si>
  <si>
    <t>D756 .E39 V.2</t>
  </si>
  <si>
    <t>0                      D  0756000E  39                                                      V.2</t>
  </si>
  <si>
    <t>32285001210243</t>
  </si>
  <si>
    <t>893885002</t>
  </si>
  <si>
    <t>D756 .L325 1992</t>
  </si>
  <si>
    <t>0                      D  0756000L  325         1992</t>
  </si>
  <si>
    <t>The mighty endeavor : the American war in Europe / Charles B. MacDonald.</t>
  </si>
  <si>
    <t>MacDonald, Charles B. (Charles Brown), 1922-1990.</t>
  </si>
  <si>
    <t>New York : Da Capo Press, 1992.</t>
  </si>
  <si>
    <t>1997-01-17</t>
  </si>
  <si>
    <t>3855425615:eng</t>
  </si>
  <si>
    <t>25874268</t>
  </si>
  <si>
    <t>991002032839702656</t>
  </si>
  <si>
    <t>2269156110002656</t>
  </si>
  <si>
    <t>9780306804861</t>
  </si>
  <si>
    <t>32285001996221</t>
  </si>
  <si>
    <t>893879423</t>
  </si>
  <si>
    <t>D756 .L35 1984</t>
  </si>
  <si>
    <t>0                      D  0756000L  35          1984</t>
  </si>
  <si>
    <t>Montgomery in Europe, 1943-1945 : success or failure? / Richard Lamb.</t>
  </si>
  <si>
    <t>Lamb, Richard.</t>
  </si>
  <si>
    <t>New York : Watts, 1984, c1983.</t>
  </si>
  <si>
    <t>1995-05-09</t>
  </si>
  <si>
    <t>2915340:eng</t>
  </si>
  <si>
    <t>11378455</t>
  </si>
  <si>
    <t>991000528579702656</t>
  </si>
  <si>
    <t>2255508250002656</t>
  </si>
  <si>
    <t>9780531097694</t>
  </si>
  <si>
    <t>32285001210250</t>
  </si>
  <si>
    <t>893695912</t>
  </si>
  <si>
    <t>D756 .L5</t>
  </si>
  <si>
    <t>0                      D  0756000L  5</t>
  </si>
  <si>
    <t>Life's picture history of World War II.</t>
  </si>
  <si>
    <t>Life (Chicago, Ill.)</t>
  </si>
  <si>
    <t>New York : Time, Inc., c1950.</t>
  </si>
  <si>
    <t>1997-09-04</t>
  </si>
  <si>
    <t>5614400244:eng</t>
  </si>
  <si>
    <t>491122</t>
  </si>
  <si>
    <t>991004263319702656</t>
  </si>
  <si>
    <t>2265873380002656</t>
  </si>
  <si>
    <t>32285003200093</t>
  </si>
  <si>
    <t>893229132</t>
  </si>
  <si>
    <t>D756 .W43 2004</t>
  </si>
  <si>
    <t>0                      D  0756000W  43          2004</t>
  </si>
  <si>
    <t>"Beachhead Don" : reporting the war from the European Theater, 1942-1945 / Don Whitehead ; edited by John B. Romeiser.</t>
  </si>
  <si>
    <t>Whitehead, Don, 1908-1981.</t>
  </si>
  <si>
    <t>New York : Fordham University Press, 2004.</t>
  </si>
  <si>
    <t>World War II: the global, human, and ethical dimension ; no. 3</t>
  </si>
  <si>
    <t>2005-08-02</t>
  </si>
  <si>
    <t>859682132:eng</t>
  </si>
  <si>
    <t>56198751</t>
  </si>
  <si>
    <t>991004611649702656</t>
  </si>
  <si>
    <t>2272727550002656</t>
  </si>
  <si>
    <t>9780823224128</t>
  </si>
  <si>
    <t>32285005098206</t>
  </si>
  <si>
    <t>893253890</t>
  </si>
  <si>
    <t>D756.3 .B66 1979</t>
  </si>
  <si>
    <t>0                      D  0756300B  66          1979</t>
  </si>
  <si>
    <t>France and Belgium, 1939-1940 / Brian Bond.</t>
  </si>
  <si>
    <t>Newark : University of Delaware Press, 1979, c1975.</t>
  </si>
  <si>
    <t>The Politics and strategy of the Second World War</t>
  </si>
  <si>
    <t>1997-02-03</t>
  </si>
  <si>
    <t>2515024:eng</t>
  </si>
  <si>
    <t>6142692</t>
  </si>
  <si>
    <t>991004935389702656</t>
  </si>
  <si>
    <t>2261517070002656</t>
  </si>
  <si>
    <t>32285001210284</t>
  </si>
  <si>
    <t>893810757</t>
  </si>
  <si>
    <t>D756.3 .B66 1990</t>
  </si>
  <si>
    <t>0                      D  0756300B  66          1990</t>
  </si>
  <si>
    <t>Britain, France, and Belgium, 1939-1940 / Brian Bond.</t>
  </si>
  <si>
    <t>London ; Washington : Brassey's (UK) Riverside, N.J. : Orders, North America, Brassey's (US), 1990.</t>
  </si>
  <si>
    <t>1991-08-27</t>
  </si>
  <si>
    <t>3856286442:eng</t>
  </si>
  <si>
    <t>20669909</t>
  </si>
  <si>
    <t>991001600379702656</t>
  </si>
  <si>
    <t>2268187320002656</t>
  </si>
  <si>
    <t>9780080377001</t>
  </si>
  <si>
    <t>32285000702406</t>
  </si>
  <si>
    <t>893872621</t>
  </si>
  <si>
    <t>D756.3 .F87 2003</t>
  </si>
  <si>
    <t>0                      D  0756300F  87          2003</t>
  </si>
  <si>
    <t>The boys' crusade : the American infantry in northwestern Europe, 1944-1945 / Paul Fussell.</t>
  </si>
  <si>
    <t>Fussell, Paul, 1924-2012.</t>
  </si>
  <si>
    <t>New York : Modern Library, c2003.</t>
  </si>
  <si>
    <t>Modern Library chronicles ; 14</t>
  </si>
  <si>
    <t>2005-12-22</t>
  </si>
  <si>
    <t>2003-09-22</t>
  </si>
  <si>
    <t>793904733:eng</t>
  </si>
  <si>
    <t>51804681</t>
  </si>
  <si>
    <t>991004121079702656</t>
  </si>
  <si>
    <t>2270874770002656</t>
  </si>
  <si>
    <t>9780679640882</t>
  </si>
  <si>
    <t>32285004783790</t>
  </si>
  <si>
    <t>893411145</t>
  </si>
  <si>
    <t>D756.3 .I78 1981</t>
  </si>
  <si>
    <t>0                      D  0756300I  78          1981</t>
  </si>
  <si>
    <t>The war between the generals / by David Irving.</t>
  </si>
  <si>
    <t>Irving, David John Cawdell, 1938-</t>
  </si>
  <si>
    <t>New York : Cingdon &amp; Lattès : distributed by St. Martin's Press, c1981.</t>
  </si>
  <si>
    <t>1995-04-07</t>
  </si>
  <si>
    <t>4268405:eng</t>
  </si>
  <si>
    <t>7152266</t>
  </si>
  <si>
    <t>991005077939702656</t>
  </si>
  <si>
    <t>2267404130002656</t>
  </si>
  <si>
    <t>9780312929206</t>
  </si>
  <si>
    <t>32285000272095</t>
  </si>
  <si>
    <t>893713408</t>
  </si>
  <si>
    <t>D756.5.A7 E4</t>
  </si>
  <si>
    <t>0                      D  0756500A  7                  E  4</t>
  </si>
  <si>
    <t>The bitter woods : the dramatic story, told at all echelons, from supreme command to squad leader, of the crisis that shook the Western coalition : Hitler's surprise Ardennes offensives / by John S. D. Eisenhower.</t>
  </si>
  <si>
    <t>New York : Putnam, [1969]</t>
  </si>
  <si>
    <t>1999-04-18</t>
  </si>
  <si>
    <t>1994-12-19</t>
  </si>
  <si>
    <t>2748248:eng</t>
  </si>
  <si>
    <t>392838</t>
  </si>
  <si>
    <t>991002664919702656</t>
  </si>
  <si>
    <t>2263616560002656</t>
  </si>
  <si>
    <t>32285001984144</t>
  </si>
  <si>
    <t>893622562</t>
  </si>
  <si>
    <t>D756.5.A7 N63 1967</t>
  </si>
  <si>
    <t>0                      D  0756500A  7                  N  63          1967</t>
  </si>
  <si>
    <t>Hitler's last gamble : the Battle of the Bulge / translated from the French by R. H. Barry.</t>
  </si>
  <si>
    <t>Nobécourt, Jacques, 1923-</t>
  </si>
  <si>
    <t>New York : Schocken Books, [1967]</t>
  </si>
  <si>
    <t>2003-04-23</t>
  </si>
  <si>
    <t>3943277967:eng</t>
  </si>
  <si>
    <t>165816</t>
  </si>
  <si>
    <t>991000939539702656</t>
  </si>
  <si>
    <t>2271441600002656</t>
  </si>
  <si>
    <t>32285002438470</t>
  </si>
  <si>
    <t>893528519</t>
  </si>
  <si>
    <t>D756.5.B7 D44 1978</t>
  </si>
  <si>
    <t>0                      D  0756500B  7                  D  44          1978</t>
  </si>
  <si>
    <t>Fighter : the true story of the Battle of Britain / Len Deighton ; with an introd. by A. J. P. Taylor.</t>
  </si>
  <si>
    <t>Deighton, Len, 1929-</t>
  </si>
  <si>
    <t>New York : Knopf ; distributed by Random House, 1978, c1977.</t>
  </si>
  <si>
    <t>2003-12-04</t>
  </si>
  <si>
    <t>1990-03-28</t>
  </si>
  <si>
    <t>449820:eng</t>
  </si>
  <si>
    <t>3516554</t>
  </si>
  <si>
    <t>991004452919702656</t>
  </si>
  <si>
    <t>2272471200002656</t>
  </si>
  <si>
    <t>9780394427577</t>
  </si>
  <si>
    <t>32285000099316</t>
  </si>
  <si>
    <t>893810519</t>
  </si>
  <si>
    <t>D756.5.B7 H67 1990</t>
  </si>
  <si>
    <t>0                      D  0756500B  7                  H  67          1990</t>
  </si>
  <si>
    <t>The Battle of Britain : the greatest air battle of World War II / Richard Hough and Denis Richards.</t>
  </si>
  <si>
    <t>Hough, Richard, 1922-1999.</t>
  </si>
  <si>
    <t>New York : Norton, 1990, c1989.</t>
  </si>
  <si>
    <t>10275002706:eng</t>
  </si>
  <si>
    <t>22607039</t>
  </si>
  <si>
    <t>991003583279702656</t>
  </si>
  <si>
    <t>2255459750002656</t>
  </si>
  <si>
    <t>9780393307344</t>
  </si>
  <si>
    <t>32285004334107</t>
  </si>
  <si>
    <t>893499448</t>
  </si>
  <si>
    <t>D756.5.B7 M67 1977</t>
  </si>
  <si>
    <t>0                      D  0756500B  7                  M  67          1977</t>
  </si>
  <si>
    <t>The battle of Britain / by Leonard Mosley and the editors of Time-Life Books.</t>
  </si>
  <si>
    <t>Mosley, Leonard, 1913-1992.</t>
  </si>
  <si>
    <t>Alexandria, Va. : Time-Life Books, c1977.</t>
  </si>
  <si>
    <t>2004-12-16</t>
  </si>
  <si>
    <t>111278027:eng</t>
  </si>
  <si>
    <t>2804768</t>
  </si>
  <si>
    <t>991004439279702656</t>
  </si>
  <si>
    <t>2266473170002656</t>
  </si>
  <si>
    <t>32285005017933</t>
  </si>
  <si>
    <t>893599839</t>
  </si>
  <si>
    <t>D756.5.D8 D5 1948</t>
  </si>
  <si>
    <t>0                      D  0756500D  8                  D  5           1948</t>
  </si>
  <si>
    <t>Dunkirk.</t>
  </si>
  <si>
    <t>Divine, A. D. (Arthur Durham), 1904-1987.</t>
  </si>
  <si>
    <t>New York, E. P. Dutton, 1948.</t>
  </si>
  <si>
    <t>1996-09-23</t>
  </si>
  <si>
    <t>188224902:eng</t>
  </si>
  <si>
    <t>497164</t>
  </si>
  <si>
    <t>991005051649702656</t>
  </si>
  <si>
    <t>2267416420002656</t>
  </si>
  <si>
    <t>32285002331592</t>
  </si>
  <si>
    <t>893319944</t>
  </si>
  <si>
    <t>D756.5.D8 E93 2000</t>
  </si>
  <si>
    <t>0                      D  0756500D  8                  E  93          2000</t>
  </si>
  <si>
    <t>The evacuation from Dunkirk : Operation Dynamo, 26 May-4 June 1940 / edited and with a preface by W.J.R. Gardner.</t>
  </si>
  <si>
    <t>London ; Portland, OR : F. Cass, 2000.</t>
  </si>
  <si>
    <t>Whitehall histories. Naval Staff histories</t>
  </si>
  <si>
    <t>2003-03-26</t>
  </si>
  <si>
    <t>793090427:eng</t>
  </si>
  <si>
    <t>44046727</t>
  </si>
  <si>
    <t>991003967129702656</t>
  </si>
  <si>
    <t>2260517710002656</t>
  </si>
  <si>
    <t>9780714651200</t>
  </si>
  <si>
    <t>32285004686910</t>
  </si>
  <si>
    <t>893699649</t>
  </si>
  <si>
    <t>D756.5.D8 M3 1941a</t>
  </si>
  <si>
    <t>0                      D  0756500D  8                  M  3           1941a</t>
  </si>
  <si>
    <t>The nine days wonder : (the operation dynamo) / by John Masefield. --</t>
  </si>
  <si>
    <t>Masefield, John, 1878-1967.</t>
  </si>
  <si>
    <t>New York : The Macmillan company, 1941.</t>
  </si>
  <si>
    <t>1999-04-19</t>
  </si>
  <si>
    <t>1469709:eng</t>
  </si>
  <si>
    <t>1516681</t>
  </si>
  <si>
    <t>991003795479702656</t>
  </si>
  <si>
    <t>2261960740002656</t>
  </si>
  <si>
    <t>32285001210300</t>
  </si>
  <si>
    <t>893416809</t>
  </si>
  <si>
    <t>D756.5.D8 T87 1978</t>
  </si>
  <si>
    <t>0                      D  0756500D  8                  T  87          1978</t>
  </si>
  <si>
    <t>Dunkirk, anatomy of disaster / Patrick Turnbull.</t>
  </si>
  <si>
    <t>Turnbull, Patrick.</t>
  </si>
  <si>
    <t>New York : Holmes &amp; Meier, 1978.</t>
  </si>
  <si>
    <t>505609:eng</t>
  </si>
  <si>
    <t>3869439</t>
  </si>
  <si>
    <t>991004535519702656</t>
  </si>
  <si>
    <t>2262891430002656</t>
  </si>
  <si>
    <t>9780841903968</t>
  </si>
  <si>
    <t>32285001210318</t>
  </si>
  <si>
    <t>893536043</t>
  </si>
  <si>
    <t>D756.5.F34 L8 1978</t>
  </si>
  <si>
    <t>0                      D  0756500F  34                 L  8           1978</t>
  </si>
  <si>
    <t>The Battle of Normandy, the Falaise Gap / James Lucas and James Barker.</t>
  </si>
  <si>
    <t>New York : Holmes &amp; Meier Publishers, 1978.</t>
  </si>
  <si>
    <t>2002-04-30</t>
  </si>
  <si>
    <t>8908763362:eng</t>
  </si>
  <si>
    <t>3965915</t>
  </si>
  <si>
    <t>991004555209702656</t>
  </si>
  <si>
    <t>2263107330002656</t>
  </si>
  <si>
    <t>9780841904187</t>
  </si>
  <si>
    <t>32285001072072</t>
  </si>
  <si>
    <t>893241575</t>
  </si>
  <si>
    <t>D756.5.M39 G35 1997</t>
  </si>
  <si>
    <t>0                      D  0756500M  39                 G  35          1997</t>
  </si>
  <si>
    <t>Resurrection, a war journey : a chronicle of events during and following the attack on Fort Jeanne d'Arc at Metz, France, by F Company of the 379th Regiment of the 95th Infantry Division, November 14-21, 1944 / Robin E. Gajdusek.</t>
  </si>
  <si>
    <t>Gajdusek, Robert E.</t>
  </si>
  <si>
    <t>Notre Dame, Ind. : University of Notre Dame Press, c1997.</t>
  </si>
  <si>
    <t>152242648:eng</t>
  </si>
  <si>
    <t>36327552</t>
  </si>
  <si>
    <t>991002768309702656</t>
  </si>
  <si>
    <t>2264968240002656</t>
  </si>
  <si>
    <t>9780268016579</t>
  </si>
  <si>
    <t>32285003284444</t>
  </si>
  <si>
    <t>893347904</t>
  </si>
  <si>
    <t>D756.5.N6 A47 1985</t>
  </si>
  <si>
    <t>0                      D  0756500N  6                  A  47          1985</t>
  </si>
  <si>
    <t>Pegasus Bridge, June 6, 1944 / Stephen E. Ambrose.</t>
  </si>
  <si>
    <t>Ambrose, Stephen E.</t>
  </si>
  <si>
    <t>New York : Simon and Schuster, c1985.</t>
  </si>
  <si>
    <t>2004-06-22</t>
  </si>
  <si>
    <t>3863661504:eng</t>
  </si>
  <si>
    <t>11370135</t>
  </si>
  <si>
    <t>991000525379702656</t>
  </si>
  <si>
    <t>2260158020002656</t>
  </si>
  <si>
    <t>9780671523749</t>
  </si>
  <si>
    <t>32285001210326</t>
  </si>
  <si>
    <t>893601823</t>
  </si>
  <si>
    <t>D756.5.N6 B423</t>
  </si>
  <si>
    <t>0                      D  0756500N  6                  B  423</t>
  </si>
  <si>
    <t>Victory in Normandy / by Major-General David Belchem.</t>
  </si>
  <si>
    <t>Belchem, David.</t>
  </si>
  <si>
    <t>London : Chatto &amp; Windus, 1981.</t>
  </si>
  <si>
    <t>444272:eng</t>
  </si>
  <si>
    <t>8728942</t>
  </si>
  <si>
    <t>991005148199702656</t>
  </si>
  <si>
    <t>2258045810002656</t>
  </si>
  <si>
    <t>9780701125462</t>
  </si>
  <si>
    <t>32285000077288</t>
  </si>
  <si>
    <t>893889754</t>
  </si>
  <si>
    <t>D756.5.N6 B57</t>
  </si>
  <si>
    <t>0                      D  0756500N  6                  B  57</t>
  </si>
  <si>
    <t>Liberation / by Martin Blumenson and the editors of Time-Life Books.</t>
  </si>
  <si>
    <t>Blumenson, Martin.</t>
  </si>
  <si>
    <t>Alexandria, Va. : Time-Life Books, [1978]</t>
  </si>
  <si>
    <t>1996-10-18</t>
  </si>
  <si>
    <t>467445:eng</t>
  </si>
  <si>
    <t>4497074</t>
  </si>
  <si>
    <t>991004661519702656</t>
  </si>
  <si>
    <t>2266876410002656</t>
  </si>
  <si>
    <t>9780809425129</t>
  </si>
  <si>
    <t>32285000120807</t>
  </si>
  <si>
    <t>893700506</t>
  </si>
  <si>
    <t>D756.5.N6 B6</t>
  </si>
  <si>
    <t>0                      D  0756500N  6                  B  6</t>
  </si>
  <si>
    <t>The second front / by Douglas Botting and the editors of Time-Life Books.</t>
  </si>
  <si>
    <t>Botting, Douglas.</t>
  </si>
  <si>
    <t>3980281276:eng</t>
  </si>
  <si>
    <t>3730458</t>
  </si>
  <si>
    <t>991004504279702656</t>
  </si>
  <si>
    <t>2268870360002656</t>
  </si>
  <si>
    <t>9780809425006</t>
  </si>
  <si>
    <t>32285001210334</t>
  </si>
  <si>
    <t>893430139</t>
  </si>
  <si>
    <t>D756.5.N6 B748 2005</t>
  </si>
  <si>
    <t>0                      D  0756500N  6                  B  748         2005</t>
  </si>
  <si>
    <t>The boys of Pointe du Hoc : Ronald Reagan, D-Day and the U.S. Army 2nd Ranger Battalion / Douglas Brinkley.</t>
  </si>
  <si>
    <t>Brinkley, Douglas.</t>
  </si>
  <si>
    <t>New York : William Morrow, c2005.</t>
  </si>
  <si>
    <t>2005</t>
  </si>
  <si>
    <t>2005-07-05</t>
  </si>
  <si>
    <t>134541:eng</t>
  </si>
  <si>
    <t>57652380</t>
  </si>
  <si>
    <t>991004583559702656</t>
  </si>
  <si>
    <t>2255297050002656</t>
  </si>
  <si>
    <t>9780060565275</t>
  </si>
  <si>
    <t>32285005095228</t>
  </si>
  <si>
    <t>893719104</t>
  </si>
  <si>
    <t>D756.5.N6 C76</t>
  </si>
  <si>
    <t>0                      D  0756500N  6                  C  76</t>
  </si>
  <si>
    <t>Dropzone Normandy : the story of the American and British airborne assault on D Day 1944 / Napier Crookenden.</t>
  </si>
  <si>
    <t>Crookenden, Napier.</t>
  </si>
  <si>
    <t>New York : Scribner, c1976.</t>
  </si>
  <si>
    <t>2003-04-02</t>
  </si>
  <si>
    <t>1995-05-01</t>
  </si>
  <si>
    <t>433014:eng</t>
  </si>
  <si>
    <t>2275847</t>
  </si>
  <si>
    <t>991004062429702656</t>
  </si>
  <si>
    <t>2271122320002656</t>
  </si>
  <si>
    <t>32285002030004</t>
  </si>
  <si>
    <t>893781804</t>
  </si>
  <si>
    <t>D756.5.N6 D29 1994</t>
  </si>
  <si>
    <t>0                      D  0756500N  6                  D  29          1994</t>
  </si>
  <si>
    <t>Decision in Normandy / by Carlo D'Este.</t>
  </si>
  <si>
    <t>D'Este, Carlo, 1936-</t>
  </si>
  <si>
    <t>New York, NY : HarperPerennial, 1994.</t>
  </si>
  <si>
    <t>50th anniversary ed.</t>
  </si>
  <si>
    <t>1994-12-13</t>
  </si>
  <si>
    <t>3721144:eng</t>
  </si>
  <si>
    <t>30134212</t>
  </si>
  <si>
    <t>991002323419702656</t>
  </si>
  <si>
    <t>2270837740002656</t>
  </si>
  <si>
    <t>9780060924959</t>
  </si>
  <si>
    <t>32285001976736</t>
  </si>
  <si>
    <t>893352261</t>
  </si>
  <si>
    <t>D756.5.N6 G65 1994</t>
  </si>
  <si>
    <t>0                      D  0756500N  6                  G  65          1994</t>
  </si>
  <si>
    <t>D-Day Normandy : the story and photographs / Donald M. Goldstein, Katherine V. Dillon, and J. Michael Wenger.</t>
  </si>
  <si>
    <t>Goldstein, Donald M.</t>
  </si>
  <si>
    <t>Washington : Brassey's (US) ; Riverside, N.J. : Order Dept., Brassey's book orders, c/o Macmillan, c1994.</t>
  </si>
  <si>
    <t>2005-05-11</t>
  </si>
  <si>
    <t>1994-10-05</t>
  </si>
  <si>
    <t>836896558:eng</t>
  </si>
  <si>
    <t>28797763</t>
  </si>
  <si>
    <t>991002232899702656</t>
  </si>
  <si>
    <t>2267179150002656</t>
  </si>
  <si>
    <t>9780028810577</t>
  </si>
  <si>
    <t>32285001948784</t>
  </si>
  <si>
    <t>893322699</t>
  </si>
  <si>
    <t>D756.5.N6 J3 1979</t>
  </si>
  <si>
    <t>0                      D  0756500N  6                  J  3           1979</t>
  </si>
  <si>
    <t>Overlord, Normandy 1944 / W. G. F. Jackson.</t>
  </si>
  <si>
    <t>Jackson, W. G. F. (William Godfrey Fothergill), Sir, 1917-</t>
  </si>
  <si>
    <t>Newark, Del. : University of Delaware Press, 1979, c1978.</t>
  </si>
  <si>
    <t>521916:eng</t>
  </si>
  <si>
    <t>6329478</t>
  </si>
  <si>
    <t>991004963929702656</t>
  </si>
  <si>
    <t>2267846980002656</t>
  </si>
  <si>
    <t>9780874131611</t>
  </si>
  <si>
    <t>32285001210342</t>
  </si>
  <si>
    <t>893236109</t>
  </si>
  <si>
    <t>D756.5.N6 N67 1970</t>
  </si>
  <si>
    <t>0                      D  0756500N  6                  N  67          1970</t>
  </si>
  <si>
    <t>Operation Overlord, design and reality : the Allied invasion of Western Europe.</t>
  </si>
  <si>
    <t>Norman, Albert, 1914-</t>
  </si>
  <si>
    <t>Westport, Conn. : Greenwood Press, [1970, c1952]</t>
  </si>
  <si>
    <t>1990-09-10</t>
  </si>
  <si>
    <t>433785709:eng</t>
  </si>
  <si>
    <t>100394</t>
  </si>
  <si>
    <t>991000610479702656</t>
  </si>
  <si>
    <t>2258349400002656</t>
  </si>
  <si>
    <t>9780837129853</t>
  </si>
  <si>
    <t>32285000301092</t>
  </si>
  <si>
    <t>893249505</t>
  </si>
  <si>
    <t>D756.5.N6 R813 1979</t>
  </si>
  <si>
    <t>0                      D  0756500N  6                  R  813         1979</t>
  </si>
  <si>
    <t>Rommel in Normandy : reminiscences / by Friedrich Ruge ; foreword by E. B. Roberts ; translated by Ursula R. Moessner.</t>
  </si>
  <si>
    <t>Ruge, Friedrich.</t>
  </si>
  <si>
    <t>San Rafael, Calif. : Presidio Press, c1979.</t>
  </si>
  <si>
    <t>5261087:eng</t>
  </si>
  <si>
    <t>4194530</t>
  </si>
  <si>
    <t>991005372179702656</t>
  </si>
  <si>
    <t>2262456180002656</t>
  </si>
  <si>
    <t>9780891410102</t>
  </si>
  <si>
    <t>32285000009828</t>
  </si>
  <si>
    <t>893896336</t>
  </si>
  <si>
    <t>D756.5.N6 Z35 2004</t>
  </si>
  <si>
    <t>0                      D  0756500N  6                  Z  35          2004</t>
  </si>
  <si>
    <t>d-day 1944 : Omaha Beach / Steven J. Zaloga.</t>
  </si>
  <si>
    <t>Zaloga, Steve, 1952-</t>
  </si>
  <si>
    <t>Westport, Conn. : Praeger, c2004.</t>
  </si>
  <si>
    <t>Praeger illustrated military history series</t>
  </si>
  <si>
    <t>2004-07-07</t>
  </si>
  <si>
    <t>2004-06-09</t>
  </si>
  <si>
    <t>4161410709:eng</t>
  </si>
  <si>
    <t>53276517</t>
  </si>
  <si>
    <t>991004294069702656</t>
  </si>
  <si>
    <t>2256370830002656</t>
  </si>
  <si>
    <t>9780275982669</t>
  </si>
  <si>
    <t>32285004908280</t>
  </si>
  <si>
    <t>893429892</t>
  </si>
  <si>
    <t>D757 .B73 1977</t>
  </si>
  <si>
    <t>0                      D  0757000B  73          1977</t>
  </si>
  <si>
    <t>Hitler's generals / Richard Brett-Smith.</t>
  </si>
  <si>
    <t>Brett-Smith, Richard, 1923-</t>
  </si>
  <si>
    <t>San Rafael, Calif. : Presidio Press, 1977, c1976.</t>
  </si>
  <si>
    <t>2001-03-30</t>
  </si>
  <si>
    <t>6277605:eng</t>
  </si>
  <si>
    <t>3585040</t>
  </si>
  <si>
    <t>991005371329702656</t>
  </si>
  <si>
    <t>2266914190002656</t>
  </si>
  <si>
    <t>9780891410447</t>
  </si>
  <si>
    <t>32285000078005</t>
  </si>
  <si>
    <t>893254919</t>
  </si>
  <si>
    <t>D757 .C58 1999</t>
  </si>
  <si>
    <t>0                      D  0757000C  58          1999</t>
  </si>
  <si>
    <t>The path to blitzkrieg : doctrine and training in the German Army, 1920-1939 / Robert M. Citino.</t>
  </si>
  <si>
    <t>Citino, Robert Michael, 1958-</t>
  </si>
  <si>
    <t>Boulder, Colo. : Lynne Rienner Publishers, c1999.</t>
  </si>
  <si>
    <t>2001-01-03</t>
  </si>
  <si>
    <t>837044781:eng</t>
  </si>
  <si>
    <t>38304326</t>
  </si>
  <si>
    <t>991003339969702656</t>
  </si>
  <si>
    <t>2258693200002656</t>
  </si>
  <si>
    <t>9781555877149</t>
  </si>
  <si>
    <t>32285004278684</t>
  </si>
  <si>
    <t>893445622</t>
  </si>
  <si>
    <t>D757 .H546 1989b</t>
  </si>
  <si>
    <t>0                      D  0757000H  546         1989b</t>
  </si>
  <si>
    <t>Hitler's generals / edited by Correlli Barnett.</t>
  </si>
  <si>
    <t>New York : Quill/William Morrow, c1989.</t>
  </si>
  <si>
    <t>1996-08-01</t>
  </si>
  <si>
    <t>55153501:eng</t>
  </si>
  <si>
    <t>23191446</t>
  </si>
  <si>
    <t>991005413199702656</t>
  </si>
  <si>
    <t>2260907310002656</t>
  </si>
  <si>
    <t>9780688103835</t>
  </si>
  <si>
    <t>32285002208972</t>
  </si>
  <si>
    <t>893714051</t>
  </si>
  <si>
    <t>D757 .I69 1977</t>
  </si>
  <si>
    <t>0                      D  0757000I  69          1977</t>
  </si>
  <si>
    <t>Hitler's war / David Irving.</t>
  </si>
  <si>
    <t>New York : Viking Press, 1977.</t>
  </si>
  <si>
    <t>2005-07-15</t>
  </si>
  <si>
    <t>1993-07-13</t>
  </si>
  <si>
    <t>10596504878:eng</t>
  </si>
  <si>
    <t>2318054</t>
  </si>
  <si>
    <t>991004075789702656</t>
  </si>
  <si>
    <t>2263950140002656</t>
  </si>
  <si>
    <t>9780670374120</t>
  </si>
  <si>
    <t>32285001722346</t>
  </si>
  <si>
    <t>893263083</t>
  </si>
  <si>
    <t>D757 .M27 1979b</t>
  </si>
  <si>
    <t>0                      D  0757000M  27          1979b</t>
  </si>
  <si>
    <t>Rommel : battles and campaigns / Kenneth Macksey.</t>
  </si>
  <si>
    <t>Macksey, Kenneth.</t>
  </si>
  <si>
    <t>New York : Mayflower Books, c1979.</t>
  </si>
  <si>
    <t>1998-10-22</t>
  </si>
  <si>
    <t>496024:eng</t>
  </si>
  <si>
    <t>4570319</t>
  </si>
  <si>
    <t>991004681879702656</t>
  </si>
  <si>
    <t>2268190820002656</t>
  </si>
  <si>
    <t>9780831774776</t>
  </si>
  <si>
    <t>32285003476735</t>
  </si>
  <si>
    <t>893618950</t>
  </si>
  <si>
    <t>D757 .M369 1977</t>
  </si>
  <si>
    <t>0                      D  0757000M  369         1977</t>
  </si>
  <si>
    <t>German generals of World War II : as I saw them / by F. W. von Mellenthin.</t>
  </si>
  <si>
    <t>Mellenthin, F. W. von (Friedrich Wilhelm), 1904-1997.</t>
  </si>
  <si>
    <t>Norman : University of Oklahoma Press, c1977.</t>
  </si>
  <si>
    <t>462019:eng</t>
  </si>
  <si>
    <t>2967756</t>
  </si>
  <si>
    <t>991004299849702656</t>
  </si>
  <si>
    <t>2269457510002656</t>
  </si>
  <si>
    <t>9780806114064</t>
  </si>
  <si>
    <t>32285000009836</t>
  </si>
  <si>
    <t>893417450</t>
  </si>
  <si>
    <t>D757 .M82</t>
  </si>
  <si>
    <t>0                      D  0757000M  82</t>
  </si>
  <si>
    <t>Germany and its allies in World War II : a record of Axis collaboration problems / by Burkhart Mueller-Hillebrand.</t>
  </si>
  <si>
    <t>Mueller-Hillebrand, Burkhart, 1904-</t>
  </si>
  <si>
    <t>Frederick, Md. : University Publications of America, 1980.</t>
  </si>
  <si>
    <t>Classified studies in twentieth-century diplomatic and military history</t>
  </si>
  <si>
    <t>2002-07-31</t>
  </si>
  <si>
    <t>427168467:eng</t>
  </si>
  <si>
    <t>7314558</t>
  </si>
  <si>
    <t>991005104029702656</t>
  </si>
  <si>
    <t>2269799210002656</t>
  </si>
  <si>
    <t>9780890932049</t>
  </si>
  <si>
    <t>32285001210359</t>
  </si>
  <si>
    <t>893795614</t>
  </si>
  <si>
    <t>D757 .S7713 1971</t>
  </si>
  <si>
    <t>0                      D  0757000S  7713        1971</t>
  </si>
  <si>
    <t>Invasion 1944 : Rommel and the Normandy campaign / introd. by Truman Smith.</t>
  </si>
  <si>
    <t>Speidel, Hans, 1897-1984.</t>
  </si>
  <si>
    <t>Westport, Conn. : Greenwood Press, [1971, c1950]</t>
  </si>
  <si>
    <t>1993-11-02</t>
  </si>
  <si>
    <t>3372115087:eng</t>
  </si>
  <si>
    <t>214527</t>
  </si>
  <si>
    <t>991001275729702656</t>
  </si>
  <si>
    <t>2254929820002656</t>
  </si>
  <si>
    <t>9780837159881</t>
  </si>
  <si>
    <t>32285001796027</t>
  </si>
  <si>
    <t>893250115</t>
  </si>
  <si>
    <t>D757 .S8613</t>
  </si>
  <si>
    <t>0                      D  0757000S  8613</t>
  </si>
  <si>
    <t>Hitler's war and the Germans : public mood and attitude during the Second World War / by Marlis G. Steinert ; edited and translated by Thomas E. J. de Witt.</t>
  </si>
  <si>
    <t>Steinert, Marlis G.</t>
  </si>
  <si>
    <t>Athens : Ohio University Press, c1977.</t>
  </si>
  <si>
    <t>4820446997:eng</t>
  </si>
  <si>
    <t>3173345</t>
  </si>
  <si>
    <t>991004367119702656</t>
  </si>
  <si>
    <t>2268594480002656</t>
  </si>
  <si>
    <t>9780821401866</t>
  </si>
  <si>
    <t>32285002331626</t>
  </si>
  <si>
    <t>893429977</t>
  </si>
  <si>
    <t>D757 .W38</t>
  </si>
  <si>
    <t>0                      D  0757000W  38</t>
  </si>
  <si>
    <t>Inside Hitler's headquarters, 1939-45 / translated from the German by R.H. Barry.</t>
  </si>
  <si>
    <t>Warlimont, Walter, 1894-</t>
  </si>
  <si>
    <t>New York : F.A. Praeger, [1964]</t>
  </si>
  <si>
    <t>Books that matter</t>
  </si>
  <si>
    <t>1151002633:eng</t>
  </si>
  <si>
    <t>285524</t>
  </si>
  <si>
    <t>991002205069702656</t>
  </si>
  <si>
    <t>2263018540002656</t>
  </si>
  <si>
    <t>32285000080704</t>
  </si>
  <si>
    <t>893779539</t>
  </si>
  <si>
    <t>D757 .W384 1995</t>
  </si>
  <si>
    <t>0                      D  0757000W  384         1995</t>
  </si>
  <si>
    <t>Germany, Hitler, and World War II : essays in modern German and world history / Gerhard Weinberg.</t>
  </si>
  <si>
    <t>Weinberg, Gerhard L.</t>
  </si>
  <si>
    <t>Cambridge [England] ; New York : Cambridge University Press, 1995</t>
  </si>
  <si>
    <t>1995-04-17</t>
  </si>
  <si>
    <t>32868101:eng</t>
  </si>
  <si>
    <t>30919782</t>
  </si>
  <si>
    <t>991002380569702656</t>
  </si>
  <si>
    <t>2264674970002656</t>
  </si>
  <si>
    <t>9780521474078</t>
  </si>
  <si>
    <t>32285002018660</t>
  </si>
  <si>
    <t>893603521</t>
  </si>
  <si>
    <t>D757 .W385</t>
  </si>
  <si>
    <t>0                      D  0757000W  385</t>
  </si>
  <si>
    <t>World in the balance : behind the scenes of World War II / Gerhard L. Weinberg.</t>
  </si>
  <si>
    <t>Hanover : Published for Brandeis University Press by University Press of New England, 1981.</t>
  </si>
  <si>
    <t>Tauber Institute series ; no. 1</t>
  </si>
  <si>
    <t>1999-03-19</t>
  </si>
  <si>
    <t>1996-05-30</t>
  </si>
  <si>
    <t>865336576:eng</t>
  </si>
  <si>
    <t>7836282</t>
  </si>
  <si>
    <t>991005167069702656</t>
  </si>
  <si>
    <t>2255235810002656</t>
  </si>
  <si>
    <t>9780874512168</t>
  </si>
  <si>
    <t>32285002164985</t>
  </si>
  <si>
    <t>893807919</t>
  </si>
  <si>
    <t>D757.55.A4 M574 1984</t>
  </si>
  <si>
    <t>0                      D  0757550A  4                  M  574         1984</t>
  </si>
  <si>
    <t>Triumphant fox : Erwin Rommel and the rise of the Afrika Korps / Samuel W. Mitcham, Jr.</t>
  </si>
  <si>
    <t>Mitcham, Samuel W.</t>
  </si>
  <si>
    <t>New York : Stein and Day, 1984.</t>
  </si>
  <si>
    <t>2002-09-04</t>
  </si>
  <si>
    <t>3230398:eng</t>
  </si>
  <si>
    <t>10019680</t>
  </si>
  <si>
    <t>991000298599702656</t>
  </si>
  <si>
    <t>2268874230002656</t>
  </si>
  <si>
    <t>9780812829297</t>
  </si>
  <si>
    <t>32285000009844</t>
  </si>
  <si>
    <t>893683299</t>
  </si>
  <si>
    <t>D757.85 .S95</t>
  </si>
  <si>
    <t>0                      D  0757850S  95</t>
  </si>
  <si>
    <t>Soldiers of destruction : the SS Death's Head Division, 1933-1945 / Charles W. Sydnor, Jr.</t>
  </si>
  <si>
    <t>Sydnor, Charles W.</t>
  </si>
  <si>
    <t>Princeton, N.J. : Princeton University Press, c1977.</t>
  </si>
  <si>
    <t>891108:eng</t>
  </si>
  <si>
    <t>2873620</t>
  </si>
  <si>
    <t>991004268259702656</t>
  </si>
  <si>
    <t>2259361900002656</t>
  </si>
  <si>
    <t>9780691052557</t>
  </si>
  <si>
    <t>32285002331642</t>
  </si>
  <si>
    <t>893875893</t>
  </si>
  <si>
    <t>D760.8.L7 M32 1985</t>
  </si>
  <si>
    <t>0                      D  0760800L  7                  M  32          1985</t>
  </si>
  <si>
    <t>London at war : the making of modern London 1939-1945 / by Joanna Mack and Steve Humphries.</t>
  </si>
  <si>
    <t>Mack, Joanna.</t>
  </si>
  <si>
    <t>London : Sidgwick &amp; Jackson, 1985.</t>
  </si>
  <si>
    <t>1999-01-15</t>
  </si>
  <si>
    <t>366252721:eng</t>
  </si>
  <si>
    <t>16805946</t>
  </si>
  <si>
    <t>991000744289702656</t>
  </si>
  <si>
    <t>2264461260002656</t>
  </si>
  <si>
    <t>9780283992322</t>
  </si>
  <si>
    <t>32285001210417</t>
  </si>
  <si>
    <t>893345935</t>
  </si>
  <si>
    <t>D761 .C458</t>
  </si>
  <si>
    <t>0                      D  0761000C  458</t>
  </si>
  <si>
    <t>Why France fell : the defeat of the French Army in 1940.</t>
  </si>
  <si>
    <t>Chapman, Guy.</t>
  </si>
  <si>
    <t>New York : Holt, Rinehart and Winston, [1969, c1968]</t>
  </si>
  <si>
    <t>2001-03-19</t>
  </si>
  <si>
    <t>1993-03-23</t>
  </si>
  <si>
    <t>236163974:eng</t>
  </si>
  <si>
    <t>3748</t>
  </si>
  <si>
    <t>991005435599702656</t>
  </si>
  <si>
    <t>2265781970002656</t>
  </si>
  <si>
    <t>9780030724909</t>
  </si>
  <si>
    <t>32285001578292</t>
  </si>
  <si>
    <t>893601222</t>
  </si>
  <si>
    <t>D761 .F65 1988</t>
  </si>
  <si>
    <t>0                      D  0761000F  65          1988</t>
  </si>
  <si>
    <t>France, 1943-1945 / Hilary Footitt and John Simmonds.</t>
  </si>
  <si>
    <t>Footitt, Hilary.</t>
  </si>
  <si>
    <t>New York : Holmes &amp; Meier, 1988.</t>
  </si>
  <si>
    <t>The Politics of liberation series</t>
  </si>
  <si>
    <t>1990-11-01</t>
  </si>
  <si>
    <t>15505586:eng</t>
  </si>
  <si>
    <t>17507320</t>
  </si>
  <si>
    <t>991001226089702656</t>
  </si>
  <si>
    <t>2271225840002656</t>
  </si>
  <si>
    <t>9780841911758</t>
  </si>
  <si>
    <t>32285000312396</t>
  </si>
  <si>
    <t>893414078</t>
  </si>
  <si>
    <t>D761 .G85</t>
  </si>
  <si>
    <t>0                      D  0761000G  85</t>
  </si>
  <si>
    <t>Divided and conquered : the French high command and the defeat of the West, 1940 / Jeffery A. Gunsburg.</t>
  </si>
  <si>
    <t>Gunsburg, Jeffery A.</t>
  </si>
  <si>
    <t>Contributions in military history, 0084-9251 ; no. 18</t>
  </si>
  <si>
    <t>445631:eng</t>
  </si>
  <si>
    <t>5103351</t>
  </si>
  <si>
    <t>991004780209702656</t>
  </si>
  <si>
    <t>2270785120002656</t>
  </si>
  <si>
    <t>9780313210921</t>
  </si>
  <si>
    <t>32285001210425</t>
  </si>
  <si>
    <t>893807461</t>
  </si>
  <si>
    <t>D761 .K33 1979</t>
  </si>
  <si>
    <t>0                      D  0761000K  33          1979</t>
  </si>
  <si>
    <t>1940-the last act : the story of the British Forces in France after Dunkirk / Basil Karslake.</t>
  </si>
  <si>
    <t>Karslake, Basil.</t>
  </si>
  <si>
    <t>Hamden, Conn. : Archon Books, 1979.</t>
  </si>
  <si>
    <t>417689:eng</t>
  </si>
  <si>
    <t>4493846</t>
  </si>
  <si>
    <t>991004650809702656</t>
  </si>
  <si>
    <t>2263096350002656</t>
  </si>
  <si>
    <t>9780208018106</t>
  </si>
  <si>
    <t>32285001210433</t>
  </si>
  <si>
    <t>893876367</t>
  </si>
  <si>
    <t>D761 .M32</t>
  </si>
  <si>
    <t>0                      D  0761000M  32</t>
  </si>
  <si>
    <t>Tragedy in France, by André Maurois; translated from the French by Denver Lindley.</t>
  </si>
  <si>
    <t>Maurois, André, 1885-1967.</t>
  </si>
  <si>
    <t>New York, London, Harper &amp; Brothers [c1940]</t>
  </si>
  <si>
    <t>1359422:eng</t>
  </si>
  <si>
    <t>395675</t>
  </si>
  <si>
    <t>991002672359702656</t>
  </si>
  <si>
    <t>2260606950002656</t>
  </si>
  <si>
    <t>32285002331774</t>
  </si>
  <si>
    <t>893239355</t>
  </si>
  <si>
    <t>D761 .W4</t>
  </si>
  <si>
    <t>0                      D  0761000W  4</t>
  </si>
  <si>
    <t>Eisenhower's lieutenants : the campaign of France and Germany, 1944-1945 / Russell F. Weigley.</t>
  </si>
  <si>
    <t>Weigley, Russell Frank.</t>
  </si>
  <si>
    <t>Bloomington : Indiana University Press, c1981.</t>
  </si>
  <si>
    <t>1999-11-08</t>
  </si>
  <si>
    <t>421417:eng</t>
  </si>
  <si>
    <t>6863111</t>
  </si>
  <si>
    <t>991005048909702656</t>
  </si>
  <si>
    <t>2271834790002656</t>
  </si>
  <si>
    <t>9780253133335</t>
  </si>
  <si>
    <t>32285001210441</t>
  </si>
  <si>
    <t>893236194</t>
  </si>
  <si>
    <t>D762.P3 C62</t>
  </si>
  <si>
    <t>0                      D  0762000P  3                  C  62</t>
  </si>
  <si>
    <t>Is Paris burning? [By] Larry Collins and Dominique Lapierre.</t>
  </si>
  <si>
    <t>Collins, Larry.</t>
  </si>
  <si>
    <t>New York, Simon and Schuster [1965]</t>
  </si>
  <si>
    <t>1998-05-13</t>
  </si>
  <si>
    <t>5264746:eng</t>
  </si>
  <si>
    <t>711458</t>
  </si>
  <si>
    <t>991003179519702656</t>
  </si>
  <si>
    <t>2262041630002656</t>
  </si>
  <si>
    <t>32285002331824</t>
  </si>
  <si>
    <t>893704986</t>
  </si>
  <si>
    <t>D763 .I814</t>
  </si>
  <si>
    <t>0                      D  0763000I  814</t>
  </si>
  <si>
    <t>The final campaign across northwest Italy, 14 April - 2, May 1945.</t>
  </si>
  <si>
    <t>United States. Army.</t>
  </si>
  <si>
    <t>Italy : Headquarters IV Corps. U. S. Army, 1945.</t>
  </si>
  <si>
    <t>8907444412:eng</t>
  </si>
  <si>
    <t>1727655</t>
  </si>
  <si>
    <t>991003881749702656</t>
  </si>
  <si>
    <t>2270739990002656</t>
  </si>
  <si>
    <t>32285001760502</t>
  </si>
  <si>
    <t>893228596</t>
  </si>
  <si>
    <t>D763.I8 B2713 1976</t>
  </si>
  <si>
    <t>0                      D  0763000I  8                  B  2713        1976</t>
  </si>
  <si>
    <t>Italy in the Second World War : memories and documents / by Pietro Badoglio ; translated by Muriel Currey.</t>
  </si>
  <si>
    <t>Badoglio, Pietro, 1871-1956.</t>
  </si>
  <si>
    <t>Westport, Conn. : Greenwood Press, 1976.</t>
  </si>
  <si>
    <t>3749146800:eng</t>
  </si>
  <si>
    <t>2136464</t>
  </si>
  <si>
    <t>991004025549702656</t>
  </si>
  <si>
    <t>2271427100002656</t>
  </si>
  <si>
    <t>9780837184852</t>
  </si>
  <si>
    <t>32285002331899</t>
  </si>
  <si>
    <t>893718371</t>
  </si>
  <si>
    <t>D763.I8 S76 1987</t>
  </si>
  <si>
    <t>0                      D  0763000I  8                  S  76          1987</t>
  </si>
  <si>
    <t>The Italian campaign / John Strawson.</t>
  </si>
  <si>
    <t>Strawson, John.</t>
  </si>
  <si>
    <t>London : Secker &amp; Warburg, 1987.</t>
  </si>
  <si>
    <t>1999-04-20</t>
  </si>
  <si>
    <t>12270475:eng</t>
  </si>
  <si>
    <t>59238672</t>
  </si>
  <si>
    <t>991001038559702656</t>
  </si>
  <si>
    <t>2259341480002656</t>
  </si>
  <si>
    <t>9780436499937</t>
  </si>
  <si>
    <t>32285000089333</t>
  </si>
  <si>
    <t>893413900</t>
  </si>
  <si>
    <t>D763.I8 T58</t>
  </si>
  <si>
    <t>0                      D  0763000I  8                  T  58</t>
  </si>
  <si>
    <t>Italy betrayed.</t>
  </si>
  <si>
    <t>Tompkins, Peter.</t>
  </si>
  <si>
    <t>New York, Simon and Schuster [1966]</t>
  </si>
  <si>
    <t>1998-02-16</t>
  </si>
  <si>
    <t>345865662:eng</t>
  </si>
  <si>
    <t>912357</t>
  </si>
  <si>
    <t>991003375349702656</t>
  </si>
  <si>
    <t>2268535900002656</t>
  </si>
  <si>
    <t>32285002331907</t>
  </si>
  <si>
    <t>893899930</t>
  </si>
  <si>
    <t>D763.I8 W33</t>
  </si>
  <si>
    <t>0                      D  0763000I  8                  W  33</t>
  </si>
  <si>
    <t>The Italian campaign / by Robert Wallace and the editors of Time-Life Books.</t>
  </si>
  <si>
    <t>Wallace, Robert, 1919-</t>
  </si>
  <si>
    <t>Alexandria, Va. : Time-Life Books, c1978.</t>
  </si>
  <si>
    <t>1997-04-05</t>
  </si>
  <si>
    <t>1990-02-26</t>
  </si>
  <si>
    <t>467439:eng</t>
  </si>
  <si>
    <t>4162356</t>
  </si>
  <si>
    <t>991004599119702656</t>
  </si>
  <si>
    <t>2267052600002656</t>
  </si>
  <si>
    <t>32285000059419</t>
  </si>
  <si>
    <t>893719118</t>
  </si>
  <si>
    <t>D763.I82 R62719 2003</t>
  </si>
  <si>
    <t>0                      D  0763000I  82                 R  62719       2003</t>
  </si>
  <si>
    <t>The battle for Rome : the Germans, the allies, the partisans, and the Pope, September 1943-June 1944 / Robert Katz.</t>
  </si>
  <si>
    <t>Katz, Robert, 1933-2010.</t>
  </si>
  <si>
    <t>New York : Simon &amp; Schuster, c2003.</t>
  </si>
  <si>
    <t>2003-10-14</t>
  </si>
  <si>
    <t>2003-09-29</t>
  </si>
  <si>
    <t>796973044:eng</t>
  </si>
  <si>
    <t>51977991</t>
  </si>
  <si>
    <t>991004124419702656</t>
  </si>
  <si>
    <t>2262384240002656</t>
  </si>
  <si>
    <t>9780743216425</t>
  </si>
  <si>
    <t>32285004785878</t>
  </si>
  <si>
    <t>893706027</t>
  </si>
  <si>
    <t>D763.N6 A3</t>
  </si>
  <si>
    <t>0                      D  0763000N  6                  A  3</t>
  </si>
  <si>
    <t>Little Norway in pictures / with supplement, Norway--yesterday and today.</t>
  </si>
  <si>
    <t>Toronto : S. J. R. Saunders, [n.d.]</t>
  </si>
  <si>
    <t>onc</t>
  </si>
  <si>
    <t>1995-06-07</t>
  </si>
  <si>
    <t>1992-05-20</t>
  </si>
  <si>
    <t>3901049984:eng</t>
  </si>
  <si>
    <t>1247200</t>
  </si>
  <si>
    <t>991003646009702656</t>
  </si>
  <si>
    <t>2263655120002656</t>
  </si>
  <si>
    <t>32285001112167</t>
  </si>
  <si>
    <t>893342811</t>
  </si>
  <si>
    <t>D763.N6 A57</t>
  </si>
  <si>
    <t>0                      D  0763000N  6                  A  57</t>
  </si>
  <si>
    <t>Norway and the Second World War / by Johs. Andenæs, O. Riste, M. Skodvin.</t>
  </si>
  <si>
    <t>Andenæs, Johannes, 1912-2003.</t>
  </si>
  <si>
    <t>Oslo : Tanum, 1966.</t>
  </si>
  <si>
    <t>Tanum's tokens of Norway</t>
  </si>
  <si>
    <t>761005416:eng</t>
  </si>
  <si>
    <t>1902771</t>
  </si>
  <si>
    <t>991003932439702656</t>
  </si>
  <si>
    <t>2259080020002656</t>
  </si>
  <si>
    <t>32285005179055</t>
  </si>
  <si>
    <t>893353117</t>
  </si>
  <si>
    <t>D763.S9 C63 2000</t>
  </si>
  <si>
    <t>0                      D  0763000S  9                  C  63          2000</t>
  </si>
  <si>
    <t>Between the Alps and a hard place : Switzerland in World War II and moral blackmail today / Angelo M. Codevilla.</t>
  </si>
  <si>
    <t>Codevilla, Angelo, 1943-</t>
  </si>
  <si>
    <t>Washington, D.C. : Regnery Pub. ; Lanham, MD : Distributed to the trade by National Book Network, c2000.</t>
  </si>
  <si>
    <t>2001-08-30</t>
  </si>
  <si>
    <t>2000-11-14</t>
  </si>
  <si>
    <t>475895264:eng</t>
  </si>
  <si>
    <t>44090540</t>
  </si>
  <si>
    <t>991003340909702656</t>
  </si>
  <si>
    <t>2259028650002656</t>
  </si>
  <si>
    <t>9780895262387</t>
  </si>
  <si>
    <t>32285004265806</t>
  </si>
  <si>
    <t>893434912</t>
  </si>
  <si>
    <t>D763.S9 S85 2000</t>
  </si>
  <si>
    <t>0                      D  0763000S  9                  S  85          2000</t>
  </si>
  <si>
    <t>Switzerland under siege, 1939-1945 : a neutral nation's struggle for survival / edited by Leo Schelbert ; foreword by Faith Whittlesey.</t>
  </si>
  <si>
    <t>Rockport, ME : Picton Press, 2000.</t>
  </si>
  <si>
    <t>Swiss American Historical Society special publication ; no. 18</t>
  </si>
  <si>
    <t>2001-02-19</t>
  </si>
  <si>
    <t>2001-01-16</t>
  </si>
  <si>
    <t>890400665:eng</t>
  </si>
  <si>
    <t>45695352</t>
  </si>
  <si>
    <t>991003464579702656</t>
  </si>
  <si>
    <t>2259850110002656</t>
  </si>
  <si>
    <t>9780897254144</t>
  </si>
  <si>
    <t>32285004284013</t>
  </si>
  <si>
    <t>893604814</t>
  </si>
  <si>
    <t>D764 .B2195 1994</t>
  </si>
  <si>
    <t>0                      D  0764000B  2195        1994</t>
  </si>
  <si>
    <t>Barbarossa : the Axis and the Allies / edited by John Erickson and David Dilks.</t>
  </si>
  <si>
    <t>Edinburgh : Edinburgh University Press, c1994.</t>
  </si>
  <si>
    <t>2000-03-19</t>
  </si>
  <si>
    <t>1997-10-23</t>
  </si>
  <si>
    <t>836901141:eng</t>
  </si>
  <si>
    <t>30777177</t>
  </si>
  <si>
    <t>991002367179702656</t>
  </si>
  <si>
    <t>2272345140002656</t>
  </si>
  <si>
    <t>9780748605040</t>
  </si>
  <si>
    <t>32285003257846</t>
  </si>
  <si>
    <t>893341349</t>
  </si>
  <si>
    <t>D764 .B43 1981</t>
  </si>
  <si>
    <t>0                      D  0764000B  43          1981</t>
  </si>
  <si>
    <t>Russia besieged / by Nicholas Bethell and the editors of Time-Life Books.</t>
  </si>
  <si>
    <t>Bethell, Nicholas, 1938-2007.</t>
  </si>
  <si>
    <t>Alexandria, Va. : Time-Life Books, 1981, c1980.</t>
  </si>
  <si>
    <t>Rev. 1981.</t>
  </si>
  <si>
    <t>2001-03-06</t>
  </si>
  <si>
    <t>1990-12-19</t>
  </si>
  <si>
    <t>114094282:eng</t>
  </si>
  <si>
    <t>9740626</t>
  </si>
  <si>
    <t>991000249399702656</t>
  </si>
  <si>
    <t>2257372850002656</t>
  </si>
  <si>
    <t>32285000405414</t>
  </si>
  <si>
    <t>893333332</t>
  </si>
  <si>
    <t>D764 .C483713 1968</t>
  </si>
  <si>
    <t>0                      D  0764000C  483713      1968</t>
  </si>
  <si>
    <t>The fall of Berlin / by Vasili I. Chuikov. Foreword by Alistair Horne. Translated from the Russian by Ruth Kisch.</t>
  </si>
  <si>
    <t>Chuĭkov, V. I. (Vasiliĭ Ivanovich), 1900-1982.</t>
  </si>
  <si>
    <t>New York : Holt, Rinehart and Winston, [1968, c1967]</t>
  </si>
  <si>
    <t>1993-03-18</t>
  </si>
  <si>
    <t>1990-05-30</t>
  </si>
  <si>
    <t>141702751:eng</t>
  </si>
  <si>
    <t>392960</t>
  </si>
  <si>
    <t>991002665299702656</t>
  </si>
  <si>
    <t>2263322980002656</t>
  </si>
  <si>
    <t>32285000159300</t>
  </si>
  <si>
    <t>893685636</t>
  </si>
  <si>
    <t>D764 .C55</t>
  </si>
  <si>
    <t>0                      D  0764000C  55</t>
  </si>
  <si>
    <t>Barbarossa : the Russian-German conflict, 1941-45.</t>
  </si>
  <si>
    <t>Clark, Alan, 1928-1999.</t>
  </si>
  <si>
    <t>New York : W. Morrow, 1965.</t>
  </si>
  <si>
    <t>2004-09-16</t>
  </si>
  <si>
    <t>3372169020:eng</t>
  </si>
  <si>
    <t>364670</t>
  </si>
  <si>
    <t>991002504249702656</t>
  </si>
  <si>
    <t>2263041330002656</t>
  </si>
  <si>
    <t>32285000091982</t>
  </si>
  <si>
    <t>893809525</t>
  </si>
  <si>
    <t>D764 .E737 1999</t>
  </si>
  <si>
    <t>0                      D  0764000E  737         1999</t>
  </si>
  <si>
    <t>The road to Berlin / John Erickson.</t>
  </si>
  <si>
    <t>Erickson, John, 1929-2002.</t>
  </si>
  <si>
    <t>New Haven, Conn. : Yale University Press, 1999.</t>
  </si>
  <si>
    <t>Stalin's war with Germany ; v. 2</t>
  </si>
  <si>
    <t>2000-12-15</t>
  </si>
  <si>
    <t>2000-12-04</t>
  </si>
  <si>
    <t>5090515853:eng</t>
  </si>
  <si>
    <t>41941140</t>
  </si>
  <si>
    <t>991003347479702656</t>
  </si>
  <si>
    <t>2262984470002656</t>
  </si>
  <si>
    <t>9780300078138</t>
  </si>
  <si>
    <t>32285004269204</t>
  </si>
  <si>
    <t>893686465</t>
  </si>
  <si>
    <t>D764 .K352 1987</t>
  </si>
  <si>
    <t>0                      D  0764000K  352         1987</t>
  </si>
  <si>
    <t>Russia at war, 1941-1945 / introduction by Vladimir Karpov ; preface by Harrison E. Salisbury ; with text by Georgii Drozdov and Evgenii Ryabko ; translated by Lydia Kmetyuk ; edited by Carey Schofield.</t>
  </si>
  <si>
    <t>Karpov, V. V. (Vladimir Vasilʹevich)</t>
  </si>
  <si>
    <t>New York : Vendome Press : Distributed by Rizzoli International Publications, c1987.</t>
  </si>
  <si>
    <t>2003-01-26</t>
  </si>
  <si>
    <t>3945659176:eng</t>
  </si>
  <si>
    <t>16004554</t>
  </si>
  <si>
    <t>991001074149702656</t>
  </si>
  <si>
    <t>2271582240002656</t>
  </si>
  <si>
    <t>9780865650770</t>
  </si>
  <si>
    <t>32285000120815</t>
  </si>
  <si>
    <t>893865942</t>
  </si>
  <si>
    <t>D764 .L78 1991</t>
  </si>
  <si>
    <t>0                      D  0764000L  78          1991</t>
  </si>
  <si>
    <t>War on the Eastern Front : the German soldier in Russia 1941-1945 / James Lucas.</t>
  </si>
  <si>
    <t>London : Greenhill Books ; California : Presidio Press, 1991.</t>
  </si>
  <si>
    <t>1992-10-27</t>
  </si>
  <si>
    <t>504771072:eng</t>
  </si>
  <si>
    <t>23869626</t>
  </si>
  <si>
    <t>991001891269702656</t>
  </si>
  <si>
    <t>2268981320002656</t>
  </si>
  <si>
    <t>9781853670701</t>
  </si>
  <si>
    <t>32285001319614</t>
  </si>
  <si>
    <t>893866558</t>
  </si>
  <si>
    <t>D764 .M825 1997</t>
  </si>
  <si>
    <t>0                      D  0764000M  825         1997</t>
  </si>
  <si>
    <t>Hitler's war in the East, 1941-1945 : a critical assessment / Rolf-Dieter Müller and Gerd R. Ueberschär ; translation of texts by Bruce D. Little.</t>
  </si>
  <si>
    <t>Müller, Rolf-Dieter, 1948-</t>
  </si>
  <si>
    <t>Providence, RI : Berghahn Books, 1997.</t>
  </si>
  <si>
    <t>riu</t>
  </si>
  <si>
    <t>1997-08-29</t>
  </si>
  <si>
    <t>837019126:eng</t>
  </si>
  <si>
    <t>35646560</t>
  </si>
  <si>
    <t>991005424949702656</t>
  </si>
  <si>
    <t>2259439320002656</t>
  </si>
  <si>
    <t>9781571810687</t>
  </si>
  <si>
    <t>32285003003026</t>
  </si>
  <si>
    <t>893802291</t>
  </si>
  <si>
    <t>D764 .M845 2005</t>
  </si>
  <si>
    <t>0                      D  0764000M  845         2005</t>
  </si>
  <si>
    <t>What Stalin knew : the enigma of Barbarossa / David E. Murphy.</t>
  </si>
  <si>
    <t>Murphy, David E., 1921-</t>
  </si>
  <si>
    <t>New Haven : Yale University Press, c2005.</t>
  </si>
  <si>
    <t>349173532:eng</t>
  </si>
  <si>
    <t>57319953</t>
  </si>
  <si>
    <t>991004590589702656</t>
  </si>
  <si>
    <t>2256926630002656</t>
  </si>
  <si>
    <t>9780300107807</t>
  </si>
  <si>
    <t>32285005098610</t>
  </si>
  <si>
    <t>893776180</t>
  </si>
  <si>
    <t>D764 .O94 1998</t>
  </si>
  <si>
    <t>0                      D  0764000O  94          1998</t>
  </si>
  <si>
    <t>Russia's war / Richard Overy.</t>
  </si>
  <si>
    <t>New York : Penguin Books, 1998, c1997.</t>
  </si>
  <si>
    <t>2002-11-03</t>
  </si>
  <si>
    <t>2000-02-10</t>
  </si>
  <si>
    <t>594772:eng</t>
  </si>
  <si>
    <t>39621362</t>
  </si>
  <si>
    <t>991002961479702656</t>
  </si>
  <si>
    <t>2260463560002656</t>
  </si>
  <si>
    <t>9780140271690</t>
  </si>
  <si>
    <t>32285003661617</t>
  </si>
  <si>
    <t>893627385</t>
  </si>
  <si>
    <t>D764 .P363</t>
  </si>
  <si>
    <t>0                      D  0764000P  363</t>
  </si>
  <si>
    <t>Leningrad 1941 : the blockade / [by] Dmitri V. Pavlov. Translated by John Clinton Adams. Foreword by Harrison E. Salisbury.</t>
  </si>
  <si>
    <t>Pavlov, D. V. (Dmitriĭ Vasilʹevich)</t>
  </si>
  <si>
    <t>Chicago : University of Chicago Press, [1965]</t>
  </si>
  <si>
    <t>2004-11-18</t>
  </si>
  <si>
    <t>1993-04-12</t>
  </si>
  <si>
    <t>10253043870:eng</t>
  </si>
  <si>
    <t>919785</t>
  </si>
  <si>
    <t>991003382719702656</t>
  </si>
  <si>
    <t>2260995710002656</t>
  </si>
  <si>
    <t>32285001604973</t>
  </si>
  <si>
    <t>893711331</t>
  </si>
  <si>
    <t>D764.3.L4 F313 1971</t>
  </si>
  <si>
    <t>0                      D  0764300L  4                  F  313         1971</t>
  </si>
  <si>
    <t>Leningrad in the days of the blockade / by A. Fadeyev. Translated from the Russian by R. D. Charques.</t>
  </si>
  <si>
    <t>Fadeev, Aleksandr, 1901-1956.</t>
  </si>
  <si>
    <t>2002-12-01</t>
  </si>
  <si>
    <t>1991-12-13</t>
  </si>
  <si>
    <t>1289135:eng</t>
  </si>
  <si>
    <t>211888</t>
  </si>
  <si>
    <t>991001270649702656</t>
  </si>
  <si>
    <t>2263977780002656</t>
  </si>
  <si>
    <t>9780837161372</t>
  </si>
  <si>
    <t>32285000877216</t>
  </si>
  <si>
    <t>893772462</t>
  </si>
  <si>
    <t>D764.3.S7 K47</t>
  </si>
  <si>
    <t>0                      D  0764300S  7                  K  47</t>
  </si>
  <si>
    <t>The secret of Stalingrad / Walter Kerr.</t>
  </si>
  <si>
    <t>Kerr, Walter Boardman, 1911-2003.</t>
  </si>
  <si>
    <t>Garden City, N.Y. : Doubleday, 1978.</t>
  </si>
  <si>
    <t>2003-01-28</t>
  </si>
  <si>
    <t>118182691:eng</t>
  </si>
  <si>
    <t>3480538</t>
  </si>
  <si>
    <t>991004444389702656</t>
  </si>
  <si>
    <t>2264921210002656</t>
  </si>
  <si>
    <t>9780385134590</t>
  </si>
  <si>
    <t>32285001210565</t>
  </si>
  <si>
    <t>893606040</t>
  </si>
  <si>
    <t>D764.6.K6 F5</t>
  </si>
  <si>
    <t>0                      D  0764600K  6                  F  5</t>
  </si>
  <si>
    <t>Soviet opposition to Stalin, a case study in World War II.</t>
  </si>
  <si>
    <t>Fischer, George, 1923-</t>
  </si>
  <si>
    <t>Cambridge, Harvard University Press, 1952.</t>
  </si>
  <si>
    <t>Russian Research Center studies ; 8</t>
  </si>
  <si>
    <t>2001-04-09</t>
  </si>
  <si>
    <t>1286584:eng</t>
  </si>
  <si>
    <t>404764</t>
  </si>
  <si>
    <t>991002698869702656</t>
  </si>
  <si>
    <t>2260379790002656</t>
  </si>
  <si>
    <t>32285002332038</t>
  </si>
  <si>
    <t>893704400</t>
  </si>
  <si>
    <t>D765.2.W3 B513</t>
  </si>
  <si>
    <t>0                      D  0765200W  3                  B  513</t>
  </si>
  <si>
    <t>A memoir of the Warsaw uprising / Miron Białoszewski ; edited and translated by Madeline Levine.</t>
  </si>
  <si>
    <t>Białoszewski, Miron.</t>
  </si>
  <si>
    <t>Ann Arbor, Mich. : Ardis, c1977.</t>
  </si>
  <si>
    <t>1993-11-13</t>
  </si>
  <si>
    <t>3369234:eng</t>
  </si>
  <si>
    <t>3419128</t>
  </si>
  <si>
    <t>991004430979702656</t>
  </si>
  <si>
    <t>2262027190002656</t>
  </si>
  <si>
    <t>9780882332758</t>
  </si>
  <si>
    <t>32285001652808</t>
  </si>
  <si>
    <t>893253683</t>
  </si>
  <si>
    <t>D765.2.W3 M293</t>
  </si>
  <si>
    <t>0                      D  0765200W  3                  M  293</t>
  </si>
  <si>
    <t>Uprising in the Warsaw ghetto / Ber Mark ; translated from Yiddish by Gershon Freidlin.</t>
  </si>
  <si>
    <t>Mark, Bernard, 1908-1966.</t>
  </si>
  <si>
    <t>New York : Schocken Books, 1975.</t>
  </si>
  <si>
    <t>1990-03-13</t>
  </si>
  <si>
    <t>50959766:eng</t>
  </si>
  <si>
    <t>1217479</t>
  </si>
  <si>
    <t>991003626719702656</t>
  </si>
  <si>
    <t>2272235780002656</t>
  </si>
  <si>
    <t>9780805235784</t>
  </si>
  <si>
    <t>32285000079706</t>
  </si>
  <si>
    <t>893330585</t>
  </si>
  <si>
    <t>D765.2.W3 Z38</t>
  </si>
  <si>
    <t>0                      D  0765200W  3                  Z  38</t>
  </si>
  <si>
    <t>Nothing but honour : the story of the Warsaw Uprising, 1944 / J. K. Zawodny. --</t>
  </si>
  <si>
    <t>Zawodny, J. K. (Janusz Kazimierz)</t>
  </si>
  <si>
    <t>Stanford, Calif. : Hoover Institution Press, 1978.</t>
  </si>
  <si>
    <t>Hoover Institution publication ; 183</t>
  </si>
  <si>
    <t>1994-02-23</t>
  </si>
  <si>
    <t>33908046:eng</t>
  </si>
  <si>
    <t>3935041</t>
  </si>
  <si>
    <t>991004551209702656</t>
  </si>
  <si>
    <t>2265701120002656</t>
  </si>
  <si>
    <t>9780817968311</t>
  </si>
  <si>
    <t>32285001210573</t>
  </si>
  <si>
    <t>893241569</t>
  </si>
  <si>
    <t>D766 .P6</t>
  </si>
  <si>
    <t>0                      D  0766000P  6</t>
  </si>
  <si>
    <t>The Mediterranean and Middle East.</t>
  </si>
  <si>
    <t>Playfair, Ian Stanley Ord.</t>
  </si>
  <si>
    <t>London : H.M. Stationery Off., 1954-1988.</t>
  </si>
  <si>
    <t>1954</t>
  </si>
  <si>
    <t>1997-10-13</t>
  </si>
  <si>
    <t>1993-08-09</t>
  </si>
  <si>
    <t>9565573882:eng</t>
  </si>
  <si>
    <t>296670</t>
  </si>
  <si>
    <t>991002238749702656</t>
  </si>
  <si>
    <t>2262799980002656</t>
  </si>
  <si>
    <t>32285001751519</t>
  </si>
  <si>
    <t>893886008</t>
  </si>
  <si>
    <t>32285001751501</t>
  </si>
  <si>
    <t>893873275</t>
  </si>
  <si>
    <t>32285001751527</t>
  </si>
  <si>
    <t>893866956</t>
  </si>
  <si>
    <t>32285001751535</t>
  </si>
  <si>
    <t>893886009</t>
  </si>
  <si>
    <t>D766.15 O43 1992</t>
  </si>
  <si>
    <t>0                      D  0766150O  43          1992</t>
  </si>
  <si>
    <t>Bittersweet passage : redress and the Japanese Canadian experience / Maryka Omatsu.</t>
  </si>
  <si>
    <t>Omatsu, Maryka, 1949-</t>
  </si>
  <si>
    <t>Toronto : Between The Lines, c1992.</t>
  </si>
  <si>
    <t>1994-07-27</t>
  </si>
  <si>
    <t>75886:eng</t>
  </si>
  <si>
    <t>25709660</t>
  </si>
  <si>
    <t>991002020939702656</t>
  </si>
  <si>
    <t>2259877270002656</t>
  </si>
  <si>
    <t>9780921284574</t>
  </si>
  <si>
    <t>32285001934032</t>
  </si>
  <si>
    <t>893626911</t>
  </si>
  <si>
    <t>D766.3 .C78 1979</t>
  </si>
  <si>
    <t>0                      D  0766300C  78          1979</t>
  </si>
  <si>
    <t>Greece, 1940-1941 / Charles Cruickshank.</t>
  </si>
  <si>
    <t>Cruickshank, Charles, 1914-1989.</t>
  </si>
  <si>
    <t>Newark : University of Delaware Press, 1979, c1976.</t>
  </si>
  <si>
    <t>2004-09-13</t>
  </si>
  <si>
    <t>1992-07-15</t>
  </si>
  <si>
    <t>521910:eng</t>
  </si>
  <si>
    <t>6076052</t>
  </si>
  <si>
    <t>991004924359702656</t>
  </si>
  <si>
    <t>2267565220002656</t>
  </si>
  <si>
    <t>9780874131598</t>
  </si>
  <si>
    <t>32285001210664</t>
  </si>
  <si>
    <t>893260322</t>
  </si>
  <si>
    <t>D766.4 .W6 1972</t>
  </si>
  <si>
    <t>0                      D  0766400W  6           1972</t>
  </si>
  <si>
    <t>Low level mission.</t>
  </si>
  <si>
    <t>Wolff, Leon.</t>
  </si>
  <si>
    <t>[New York] Arno Press [1972, c1957]</t>
  </si>
  <si>
    <t>1540442:eng</t>
  </si>
  <si>
    <t>482085</t>
  </si>
  <si>
    <t>991002840339702656</t>
  </si>
  <si>
    <t>2258879590002656</t>
  </si>
  <si>
    <t>9780405037863</t>
  </si>
  <si>
    <t>32285002332111</t>
  </si>
  <si>
    <t>893445406</t>
  </si>
  <si>
    <t>D766.7.I57 W37 1979</t>
  </si>
  <si>
    <t>0                      D  0766700I  57                 W  37          1979</t>
  </si>
  <si>
    <t>Iraq and Syria, 1941 / Geoffrey Warner.</t>
  </si>
  <si>
    <t>Warner, Geoffrey, 1937-</t>
  </si>
  <si>
    <t>Newark : University of Delaware Press, 1979, c1974.</t>
  </si>
  <si>
    <t>2005-11-09</t>
  </si>
  <si>
    <t>521906:eng</t>
  </si>
  <si>
    <t>6075937</t>
  </si>
  <si>
    <t>991004924289702656</t>
  </si>
  <si>
    <t>2270294960002656</t>
  </si>
  <si>
    <t>9780874131550</t>
  </si>
  <si>
    <t>32285001210680</t>
  </si>
  <si>
    <t>893901901</t>
  </si>
  <si>
    <t>D766.82 .B4 1985</t>
  </si>
  <si>
    <t>0                      D  0766820B  4           1985</t>
  </si>
  <si>
    <t>Rommel's intelligence in the desert campaign, 1941-1943 / Hans-Otto Behrendt.</t>
  </si>
  <si>
    <t>Behrendt, Hans-Otto, 1905-</t>
  </si>
  <si>
    <t>London : W. Kimber, c1985.</t>
  </si>
  <si>
    <t>1999-11-29</t>
  </si>
  <si>
    <t>807543756:eng</t>
  </si>
  <si>
    <t>19670583</t>
  </si>
  <si>
    <t>991000680769702656</t>
  </si>
  <si>
    <t>2260545290002656</t>
  </si>
  <si>
    <t>9780718305154</t>
  </si>
  <si>
    <t>32285001210698</t>
  </si>
  <si>
    <t>893702332</t>
  </si>
  <si>
    <t>D766.82 .C59</t>
  </si>
  <si>
    <t>0                      D  0766820C  59</t>
  </si>
  <si>
    <t>The war in the desert / by Richard Collier and the editors of Time-Life Books.</t>
  </si>
  <si>
    <t>Collier, Richard, 1924-1996.</t>
  </si>
  <si>
    <t>448910:eng</t>
  </si>
  <si>
    <t>3390509</t>
  </si>
  <si>
    <t>991004423089702656</t>
  </si>
  <si>
    <t>2264373550002656</t>
  </si>
  <si>
    <t>32285000007954</t>
  </si>
  <si>
    <t>893247572</t>
  </si>
  <si>
    <t>D766.82 .H4313</t>
  </si>
  <si>
    <t>0                      D  0766820H  4313</t>
  </si>
  <si>
    <t>Rommel's war in Africa / by Wolf Heckmann ; translated from the German by Stephen Seago ; foreword by Sir John Hackett.</t>
  </si>
  <si>
    <t>Heckmann, Wolf, 1929-</t>
  </si>
  <si>
    <t>Garden City, N.Y. : Doubleday, 1981.</t>
  </si>
  <si>
    <t>1990-05-03</t>
  </si>
  <si>
    <t>1042358200:eng</t>
  </si>
  <si>
    <t>6708126</t>
  </si>
  <si>
    <t>991005028359702656</t>
  </si>
  <si>
    <t>2254767500002656</t>
  </si>
  <si>
    <t>9780385144209</t>
  </si>
  <si>
    <t>32285000147503</t>
  </si>
  <si>
    <t>893895767</t>
  </si>
  <si>
    <t>D766.82 .S24 1979</t>
  </si>
  <si>
    <t>0                      D  0766820S  24          1979</t>
  </si>
  <si>
    <t>The North African landings, 1942 : a strategic decision / Keith Sainsbury.</t>
  </si>
  <si>
    <t>Sainsbury, Keith.</t>
  </si>
  <si>
    <t>1999-11-15</t>
  </si>
  <si>
    <t>891842500:eng</t>
  </si>
  <si>
    <t>6058391</t>
  </si>
  <si>
    <t>991004922499702656</t>
  </si>
  <si>
    <t>2258675940002656</t>
  </si>
  <si>
    <t>9780874131581</t>
  </si>
  <si>
    <t>32285001210722</t>
  </si>
  <si>
    <t>893350509</t>
  </si>
  <si>
    <t>D767 .C58 1969b</t>
  </si>
  <si>
    <t>0                      D  0767000C  58          1969b</t>
  </si>
  <si>
    <t>The war in the Far East, 1941-1945 : a military history.</t>
  </si>
  <si>
    <t>New York : Morrow, 1969 [c1968]</t>
  </si>
  <si>
    <t>1992-09-09</t>
  </si>
  <si>
    <t>1141355:eng</t>
  </si>
  <si>
    <t>173634</t>
  </si>
  <si>
    <t>991001018439702656</t>
  </si>
  <si>
    <t>2268570890002656</t>
  </si>
  <si>
    <t>32285001297265</t>
  </si>
  <si>
    <t>893444549</t>
  </si>
  <si>
    <t>D767 .H644 1982</t>
  </si>
  <si>
    <t>0                      D  0767000H  644         1982</t>
  </si>
  <si>
    <t>Closing the circle : war in the Pacific, 1945 / Edwin P. Hoyt.</t>
  </si>
  <si>
    <t>Hoyt, Edwin P. (Edwin Palmer), 1923-2005.</t>
  </si>
  <si>
    <t>New York : Van Nostrand Reinhold Co., c1982.</t>
  </si>
  <si>
    <t>1994-04-14</t>
  </si>
  <si>
    <t>481841:eng</t>
  </si>
  <si>
    <t>7978063</t>
  </si>
  <si>
    <t>991005188009702656</t>
  </si>
  <si>
    <t>2271689070002656</t>
  </si>
  <si>
    <t>9780442247515</t>
  </si>
  <si>
    <t>32285001210730</t>
  </si>
  <si>
    <t>893501466</t>
  </si>
  <si>
    <t>D767 .S69 1985</t>
  </si>
  <si>
    <t>0                      D  0767000S  69          1985</t>
  </si>
  <si>
    <t>Eagle against the sun : the American war with Japan / Ronald H. Spector.</t>
  </si>
  <si>
    <t>Spector, Ronald H., 1943-</t>
  </si>
  <si>
    <t>New York : Free Press, c1985.</t>
  </si>
  <si>
    <t>3627465:eng</t>
  </si>
  <si>
    <t>10998802</t>
  </si>
  <si>
    <t>991000473569702656</t>
  </si>
  <si>
    <t>2261309410002656</t>
  </si>
  <si>
    <t>9780029303603</t>
  </si>
  <si>
    <t>32285001210748</t>
  </si>
  <si>
    <t>893620506</t>
  </si>
  <si>
    <t>D767 .T6</t>
  </si>
  <si>
    <t>0                      D  0767000T  6</t>
  </si>
  <si>
    <t>But not in shame : the six months after Pearl Harbor.</t>
  </si>
  <si>
    <t>Toland, John.</t>
  </si>
  <si>
    <t>New York : Random House, [1961]</t>
  </si>
  <si>
    <t>4020406398:eng</t>
  </si>
  <si>
    <t>307658</t>
  </si>
  <si>
    <t>991002269249702656</t>
  </si>
  <si>
    <t>2264618930002656</t>
  </si>
  <si>
    <t>32285001970002</t>
  </si>
  <si>
    <t>893347308</t>
  </si>
  <si>
    <t>D767 .U55 1969</t>
  </si>
  <si>
    <t>0                      D  0767000U  55          1969</t>
  </si>
  <si>
    <t>The campaigns of the Pacific war.</t>
  </si>
  <si>
    <t>United States Strategic Bombing Survey.</t>
  </si>
  <si>
    <t>[Washington] : U.S. Strategic Bombing Survey (Pacific), Naval Analysis Division ; New York : Greenwood Press, [1969]</t>
  </si>
  <si>
    <t>2004-10-21</t>
  </si>
  <si>
    <t>1992-02-27</t>
  </si>
  <si>
    <t>5196362935:eng</t>
  </si>
  <si>
    <t>61533</t>
  </si>
  <si>
    <t>991000162349702656</t>
  </si>
  <si>
    <t>2255402290002656</t>
  </si>
  <si>
    <t>9780837123134</t>
  </si>
  <si>
    <t>32285000977396</t>
  </si>
  <si>
    <t>893508568</t>
  </si>
  <si>
    <t>D767 .W5 1982</t>
  </si>
  <si>
    <t>0                      D  0767000W  5           1982</t>
  </si>
  <si>
    <t>The fleet the gods forgot : the U.S. Asiatic Fleet in World War II / W.G. Winslow.</t>
  </si>
  <si>
    <t>Winslow, Walter G., 1912-</t>
  </si>
  <si>
    <t>Annapolis, Md. : Naval Institute Press, c1982.</t>
  </si>
  <si>
    <t>2001-01-17</t>
  </si>
  <si>
    <t>1990-02-21</t>
  </si>
  <si>
    <t>25182510:eng</t>
  </si>
  <si>
    <t>8176754</t>
  </si>
  <si>
    <t>991005214909702656</t>
  </si>
  <si>
    <t>2259544580002656</t>
  </si>
  <si>
    <t>9780870211881</t>
  </si>
  <si>
    <t>32285000058312</t>
  </si>
  <si>
    <t>893520649</t>
  </si>
  <si>
    <t>D767 .Z52</t>
  </si>
  <si>
    <t>0                      D  0767000Z  52</t>
  </si>
  <si>
    <t>The rising sun / by Arthur Zich and the editors of Time-Life Books.</t>
  </si>
  <si>
    <t>Zich, Arthur.</t>
  </si>
  <si>
    <t>448911:eng</t>
  </si>
  <si>
    <t>2941738</t>
  </si>
  <si>
    <t>991004290149702656</t>
  </si>
  <si>
    <t>2266143360002656</t>
  </si>
  <si>
    <t>32285000031418</t>
  </si>
  <si>
    <t>893500379</t>
  </si>
  <si>
    <t>D767.2 .C7 1979</t>
  </si>
  <si>
    <t>0                      D  0767200C  7           1979</t>
  </si>
  <si>
    <t>The fall of Japan / William Craig.</t>
  </si>
  <si>
    <t>Craig, William, 1929-</t>
  </si>
  <si>
    <t>Harmondsworth, Eng. ; New York : Penguin Books, 1979, c1967.</t>
  </si>
  <si>
    <t>1995-04-19</t>
  </si>
  <si>
    <t>412824:eng</t>
  </si>
  <si>
    <t>4804584</t>
  </si>
  <si>
    <t>991004721299702656</t>
  </si>
  <si>
    <t>2270347980002656</t>
  </si>
  <si>
    <t>9780140052619</t>
  </si>
  <si>
    <t>32285001210755</t>
  </si>
  <si>
    <t>893619011</t>
  </si>
  <si>
    <t>D767.2 .F4 1966</t>
  </si>
  <si>
    <t>0                      D  0767200F  4           1966</t>
  </si>
  <si>
    <t>The atomic bomb and the end of World War II.</t>
  </si>
  <si>
    <t>Princeton, N.J. : Princeton University Press, 1966.</t>
  </si>
  <si>
    <t>[Rev. ed.]</t>
  </si>
  <si>
    <t>2005-11-21</t>
  </si>
  <si>
    <t>198206506:eng</t>
  </si>
  <si>
    <t>397111</t>
  </si>
  <si>
    <t>991002676339702656</t>
  </si>
  <si>
    <t>2261565600002656</t>
  </si>
  <si>
    <t>32285000118884</t>
  </si>
  <si>
    <t>893409401</t>
  </si>
  <si>
    <t>D767.2 .S33</t>
  </si>
  <si>
    <t>0                      D  0767200S  33</t>
  </si>
  <si>
    <t>Decision of destiny.</t>
  </si>
  <si>
    <t>Schoenberger, Walter Smith, 1920-</t>
  </si>
  <si>
    <t>Athens : Ohio University Press, [1970, c1969]</t>
  </si>
  <si>
    <t>1993-12-15</t>
  </si>
  <si>
    <t>1180580:eng</t>
  </si>
  <si>
    <t>103933</t>
  </si>
  <si>
    <t>991000625019702656</t>
  </si>
  <si>
    <t>2260278200002656</t>
  </si>
  <si>
    <t>9780821400685</t>
  </si>
  <si>
    <t>32285001809184</t>
  </si>
  <si>
    <t>893890868</t>
  </si>
  <si>
    <t>D767.25.H6 G65 1995</t>
  </si>
  <si>
    <t>0                      D  0767250H  6                  G  65          1995</t>
  </si>
  <si>
    <t>Rain of ruin : a photographic history of Hiroshima and Nagasaki / Donald M. Goldstein, Katherine V. Dillon, and J. Michael Wenger.</t>
  </si>
  <si>
    <t>Washington, D.C. : Brassey's, 1995.</t>
  </si>
  <si>
    <t>1995-10-24</t>
  </si>
  <si>
    <t>25288986:eng</t>
  </si>
  <si>
    <t>31969557</t>
  </si>
  <si>
    <t>991002450919702656</t>
  </si>
  <si>
    <t>2263062170002656</t>
  </si>
  <si>
    <t>9780028811246</t>
  </si>
  <si>
    <t>32285002097680</t>
  </si>
  <si>
    <t>893786155</t>
  </si>
  <si>
    <t>D767.25.H6 H37 1970</t>
  </si>
  <si>
    <t>0                      D  0767250H  6                  H  37          1970</t>
  </si>
  <si>
    <t>Hiroshima : a study in science, politics and the ethics of war / Jonathan Harris.</t>
  </si>
  <si>
    <t>Harris, Jonathan.</t>
  </si>
  <si>
    <t>Menlo Park, Calif. : Addison-Wesley, c1970.</t>
  </si>
  <si>
    <t>Amherst Project units in American history</t>
  </si>
  <si>
    <t>196413024:eng</t>
  </si>
  <si>
    <t>1636825</t>
  </si>
  <si>
    <t>991003849139702656</t>
  </si>
  <si>
    <t>2256028640002656</t>
  </si>
  <si>
    <t>9780201026870</t>
  </si>
  <si>
    <t>32285001210771</t>
  </si>
  <si>
    <t>893693213</t>
  </si>
  <si>
    <t>D767.25.H6 L39 1985</t>
  </si>
  <si>
    <t>0                      D  0767250H  6                  L  39          1985</t>
  </si>
  <si>
    <t>A place called Hiroshima / text by Betty Jean Lifton ; photographs by Eikoh Hosoe.</t>
  </si>
  <si>
    <t>Lifton, Betty Jean.</t>
  </si>
  <si>
    <t>Tokyo ; New York : Kodansha International ; New York : Distributed in the U.S. through Harper &amp; Row, 1985.</t>
  </si>
  <si>
    <t xml:space="preserve">ja </t>
  </si>
  <si>
    <t>1996-04-18</t>
  </si>
  <si>
    <t>1992-04-08</t>
  </si>
  <si>
    <t>4242930:eng</t>
  </si>
  <si>
    <t>11399915</t>
  </si>
  <si>
    <t>991000531879702656</t>
  </si>
  <si>
    <t>2268393280002656</t>
  </si>
  <si>
    <t>9780870116490</t>
  </si>
  <si>
    <t>32285001066264</t>
  </si>
  <si>
    <t>893534196</t>
  </si>
  <si>
    <t>D767.25.H6 L4</t>
  </si>
  <si>
    <t>0                      D  0767250H  6                  L  4</t>
  </si>
  <si>
    <t>Death in life : survivors of Hiroshima.</t>
  </si>
  <si>
    <t>Lifton, Robert Jay, 1926-</t>
  </si>
  <si>
    <t>New York : Random House, [1968, c1967]</t>
  </si>
  <si>
    <t>2005-01-15</t>
  </si>
  <si>
    <t>1314582:eng</t>
  </si>
  <si>
    <t>177623</t>
  </si>
  <si>
    <t>991001057499702656</t>
  </si>
  <si>
    <t>2268195080002656</t>
  </si>
  <si>
    <t>32285000430495</t>
  </si>
  <si>
    <t>893891261</t>
  </si>
  <si>
    <t>D767.25.N3 C5</t>
  </si>
  <si>
    <t>0                      D  0767250N  3                  C  5</t>
  </si>
  <si>
    <t>Nagasaki : the forgotten bomb/ [by] Frank W. Chinnock.</t>
  </si>
  <si>
    <t>Chinnock, Frank W., 1926-</t>
  </si>
  <si>
    <t>New York : World Pub. Co., [1969]</t>
  </si>
  <si>
    <t>An NAL book</t>
  </si>
  <si>
    <t>2003-02-22</t>
  </si>
  <si>
    <t>1542729:eng</t>
  </si>
  <si>
    <t>396916</t>
  </si>
  <si>
    <t>991002675679702656</t>
  </si>
  <si>
    <t>2261216930002656</t>
  </si>
  <si>
    <t>32285002014578</t>
  </si>
  <si>
    <t>893792770</t>
  </si>
  <si>
    <t>D767.25.N3 N34 1984</t>
  </si>
  <si>
    <t>0                      D  0767250N  3                  N  34          1984</t>
  </si>
  <si>
    <t>The bells of Nagasaki / Takashi Nagai ; translated by William Johnston.</t>
  </si>
  <si>
    <t>Nagai, Takashi, 1908-1951.</t>
  </si>
  <si>
    <t>Tokyo ; New York : Kodansha International, 1984.</t>
  </si>
  <si>
    <t>1073969194:eng</t>
  </si>
  <si>
    <t>11200340</t>
  </si>
  <si>
    <t>991000504369702656</t>
  </si>
  <si>
    <t>2264288060002656</t>
  </si>
  <si>
    <t>9780870116179</t>
  </si>
  <si>
    <t>32285001066256</t>
  </si>
  <si>
    <t>893683476</t>
  </si>
  <si>
    <t>D767.3 .C24</t>
  </si>
  <si>
    <t>0                      D  0767300C  24</t>
  </si>
  <si>
    <t>A secret war: Americans in China, 1944-1945 [by] Oliver J. Caldwell.</t>
  </si>
  <si>
    <t>Caldwell, Oliver J., 1904-</t>
  </si>
  <si>
    <t>Carbondale, Southern Illinois University Press [1972]</t>
  </si>
  <si>
    <t>2002-04-06</t>
  </si>
  <si>
    <t>1996-09-16</t>
  </si>
  <si>
    <t>365615262:eng</t>
  </si>
  <si>
    <t>315143</t>
  </si>
  <si>
    <t>991002295199702656</t>
  </si>
  <si>
    <t>2270819700002656</t>
  </si>
  <si>
    <t>9780809305452</t>
  </si>
  <si>
    <t>32285002332236</t>
  </si>
  <si>
    <t>893879740</t>
  </si>
  <si>
    <t>D767.4 .B38</t>
  </si>
  <si>
    <t>0                      D  0767400B  38</t>
  </si>
  <si>
    <t>MacArthur and Wainwright; sacrifice of the Philippines. Foreword by Clare Boothe Luce.</t>
  </si>
  <si>
    <t>Beck, John Jacob.</t>
  </si>
  <si>
    <t>Albuquerque, University of New Mexico Press [1974]</t>
  </si>
  <si>
    <t>2005-03-20</t>
  </si>
  <si>
    <t>307801941:eng</t>
  </si>
  <si>
    <t>922426</t>
  </si>
  <si>
    <t>991003385329702656</t>
  </si>
  <si>
    <t>2269818090002656</t>
  </si>
  <si>
    <t>9780826302823</t>
  </si>
  <si>
    <t>32285002332251</t>
  </si>
  <si>
    <t>893893686</t>
  </si>
  <si>
    <t>D767.6 .C29 1979</t>
  </si>
  <si>
    <t>0                      D  0767600C  29          1979</t>
  </si>
  <si>
    <t>Burma, 1942-1945 / Raymond Callahan.</t>
  </si>
  <si>
    <t>Callahan, Raymond.</t>
  </si>
  <si>
    <t>Newark : University of Delaware Press, 1979, c1978.</t>
  </si>
  <si>
    <t>521919:eng</t>
  </si>
  <si>
    <t>6106001</t>
  </si>
  <si>
    <t>991004932179702656</t>
  </si>
  <si>
    <t>2270495650002656</t>
  </si>
  <si>
    <t>9780874131628</t>
  </si>
  <si>
    <t>32285000147511</t>
  </si>
  <si>
    <t>893883123</t>
  </si>
  <si>
    <t>D767.6 .L74 1986</t>
  </si>
  <si>
    <t>0                      D  0767600L  74          1986</t>
  </si>
  <si>
    <t>A hell of a licking : the retreat from Burma 1941-2 / James Lunt.</t>
  </si>
  <si>
    <t>Lunt, James, 1917-2001.</t>
  </si>
  <si>
    <t>London : Collins, 1986.</t>
  </si>
  <si>
    <t>20797474:eng</t>
  </si>
  <si>
    <t>59769915</t>
  </si>
  <si>
    <t>991000740599702656</t>
  </si>
  <si>
    <t>2258861770002656</t>
  </si>
  <si>
    <t>9780002727075</t>
  </si>
  <si>
    <t>32285001210813</t>
  </si>
  <si>
    <t>893808799</t>
  </si>
  <si>
    <t>D767.6 .O4</t>
  </si>
  <si>
    <t>0                      D  0767600O  4</t>
  </si>
  <si>
    <t>The Marauders.</t>
  </si>
  <si>
    <t>Ogburn, Charlton, 1911-1998.</t>
  </si>
  <si>
    <t>New York, Harper [1959]</t>
  </si>
  <si>
    <t>149577522:eng</t>
  </si>
  <si>
    <t>397228</t>
  </si>
  <si>
    <t>991002677069702656</t>
  </si>
  <si>
    <t>2261519800002656</t>
  </si>
  <si>
    <t>32285002332293</t>
  </si>
  <si>
    <t>893721570</t>
  </si>
  <si>
    <t>D767.6 .S74 1972</t>
  </si>
  <si>
    <t>0                      D  0767600S  74          1972</t>
  </si>
  <si>
    <t>The Stilwell papers. Arr. and edited by Theodore H. White.</t>
  </si>
  <si>
    <t>Stilwell, Joseph Warren, 1883-1946.</t>
  </si>
  <si>
    <t>New York, Schocken Books [1972, c1948]</t>
  </si>
  <si>
    <t>13957472:eng</t>
  </si>
  <si>
    <t>315347</t>
  </si>
  <si>
    <t>991002295749702656</t>
  </si>
  <si>
    <t>2268868270002656</t>
  </si>
  <si>
    <t>32285002332301</t>
  </si>
  <si>
    <t>893879741</t>
  </si>
  <si>
    <t>D767.6 .T5</t>
  </si>
  <si>
    <t>0                      D  0767600T  5</t>
  </si>
  <si>
    <t>Back to Mandalay, by Lowell Thomas.</t>
  </si>
  <si>
    <t>Thomas, Lowell, 1892-1981.</t>
  </si>
  <si>
    <t>New York, Greystone Press [1951]</t>
  </si>
  <si>
    <t>1824915:eng</t>
  </si>
  <si>
    <t>860526</t>
  </si>
  <si>
    <t>991003330279702656</t>
  </si>
  <si>
    <t>2260822050002656</t>
  </si>
  <si>
    <t>32285001210821</t>
  </si>
  <si>
    <t>893604683</t>
  </si>
  <si>
    <t>D767.9 .H96 1988</t>
  </si>
  <si>
    <t>0                      D  0767900H  96          1988</t>
  </si>
  <si>
    <t>Flights of passage : reflections of a World War II aviator / Samuel Hynes.</t>
  </si>
  <si>
    <t>Hynes, Samuel, 1924-2019.</t>
  </si>
  <si>
    <t>New York : F.C. Beil ; Annapolis : Naval Institute Press, c1988.</t>
  </si>
  <si>
    <t>1999-02-23</t>
  </si>
  <si>
    <t>1990-01-15</t>
  </si>
  <si>
    <t>10449381:eng</t>
  </si>
  <si>
    <t>15485726</t>
  </si>
  <si>
    <t>991001026299702656</t>
  </si>
  <si>
    <t>2272201380002656</t>
  </si>
  <si>
    <t>9780913720684</t>
  </si>
  <si>
    <t>32285000028372</t>
  </si>
  <si>
    <t>893784758</t>
  </si>
  <si>
    <t>D767.92 .K54</t>
  </si>
  <si>
    <t>0                      D  0767920K  54</t>
  </si>
  <si>
    <t>Admiral Kimmel's story.</t>
  </si>
  <si>
    <t>Kimmel, Husband Edward, 1882-1968.</t>
  </si>
  <si>
    <t>Chicago : H. Regnery Co., 1955.</t>
  </si>
  <si>
    <t>2003-03-08</t>
  </si>
  <si>
    <t>1990-10-23</t>
  </si>
  <si>
    <t>1542753:eng</t>
  </si>
  <si>
    <t>396926</t>
  </si>
  <si>
    <t>991002675739702656</t>
  </si>
  <si>
    <t>2261215810002656</t>
  </si>
  <si>
    <t>32285000352533</t>
  </si>
  <si>
    <t>893627251</t>
  </si>
  <si>
    <t>D767.92 .M6</t>
  </si>
  <si>
    <t>0                      D  0767920M  6</t>
  </si>
  <si>
    <t>Pearl harbor : the story of the secret war / [by] George Morgenstern.</t>
  </si>
  <si>
    <t>Morgenstern, George, 1906-1988.</t>
  </si>
  <si>
    <t>New York : The Devin-Adair Company, 1947.</t>
  </si>
  <si>
    <t>1990-08-29</t>
  </si>
  <si>
    <t>383286:eng</t>
  </si>
  <si>
    <t>397835</t>
  </si>
  <si>
    <t>991002678909702656</t>
  </si>
  <si>
    <t>2261703300002656</t>
  </si>
  <si>
    <t>32285000284678</t>
  </si>
  <si>
    <t>893792776</t>
  </si>
  <si>
    <t>D767.92 .W52 2001</t>
  </si>
  <si>
    <t>0                      D  0767920W  52          2001</t>
  </si>
  <si>
    <t>Pearl Harbor / H.P. Willmott ; with Tohmatsu Haruo and W. Spencer Johnson.</t>
  </si>
  <si>
    <t>London : Cassell ; New York, NY : distributed in the USA by Sterling Pub. Co., 2001.</t>
  </si>
  <si>
    <t>2004-09-27</t>
  </si>
  <si>
    <t>2001-10-03</t>
  </si>
  <si>
    <t>543933:eng</t>
  </si>
  <si>
    <t>45991811</t>
  </si>
  <si>
    <t>991003611219702656</t>
  </si>
  <si>
    <t>2271271450002656</t>
  </si>
  <si>
    <t>9780304358847</t>
  </si>
  <si>
    <t>32285004395009</t>
  </si>
  <si>
    <t>893611224</t>
  </si>
  <si>
    <t>D767.98 .T7</t>
  </si>
  <si>
    <t>0                      D  0767980T  7</t>
  </si>
  <si>
    <t>Guadalcanal diary, by Richard Tregaskis.</t>
  </si>
  <si>
    <t>Tregaskis, Richard, 1916-1973.</t>
  </si>
  <si>
    <t>New York, Random house [1943]</t>
  </si>
  <si>
    <t>2005-12-02</t>
  </si>
  <si>
    <t>1992-09-01</t>
  </si>
  <si>
    <t>1543284:eng</t>
  </si>
  <si>
    <t>397106</t>
  </si>
  <si>
    <t>991002676299702656</t>
  </si>
  <si>
    <t>2261578780002656</t>
  </si>
  <si>
    <t>32285001284594</t>
  </si>
  <si>
    <t>893415505</t>
  </si>
  <si>
    <t>D767.98 .U5 1948</t>
  </si>
  <si>
    <t>0                      D  0767980U  5           1948</t>
  </si>
  <si>
    <t>Bougainville and the Northern Solomons [by] John N. Rentz.</t>
  </si>
  <si>
    <t>United States. Marine Corps.</t>
  </si>
  <si>
    <t>[Washington] Historical Sect., Division of Public Information, Headquarters, Marine Corps, 1948.</t>
  </si>
  <si>
    <t>1992-09-04</t>
  </si>
  <si>
    <t>1992-03-18</t>
  </si>
  <si>
    <t>8907148416:eng</t>
  </si>
  <si>
    <t>1313812</t>
  </si>
  <si>
    <t>991003685699702656</t>
  </si>
  <si>
    <t>2257584370002656</t>
  </si>
  <si>
    <t>32285000529239</t>
  </si>
  <si>
    <t>893781277</t>
  </si>
  <si>
    <t>D767.99.N4 U5 1952</t>
  </si>
  <si>
    <t>0                      D  0767990N  4                  U  5           1952</t>
  </si>
  <si>
    <t>The campaign on New Britain [by] Frank O. Hough, USMCR [and] John A. Crown, USMCR.</t>
  </si>
  <si>
    <t>[Washington] Historical Division, Headquarters, U.S. Marine Corps, 1952.</t>
  </si>
  <si>
    <t>2000-04-19</t>
  </si>
  <si>
    <t>2000-03-09</t>
  </si>
  <si>
    <t>5608901840:eng</t>
  </si>
  <si>
    <t>1283735</t>
  </si>
  <si>
    <t>991003668279702656</t>
  </si>
  <si>
    <t>2266299110002656</t>
  </si>
  <si>
    <t>32285002332343</t>
  </si>
  <si>
    <t>893711639</t>
  </si>
  <si>
    <t>D767.99.O45 B4 1970</t>
  </si>
  <si>
    <t>0                      D  0767990O  45                 B  4           1970</t>
  </si>
  <si>
    <t>Typhoon of steel : the battle for Okinawa / [by] James and William Belote.</t>
  </si>
  <si>
    <t>Belote, James H.</t>
  </si>
  <si>
    <t>New York : Harper &amp; Row, [1970]</t>
  </si>
  <si>
    <t>2004-03-11</t>
  </si>
  <si>
    <t>1991-08-22</t>
  </si>
  <si>
    <t>1167512:eng</t>
  </si>
  <si>
    <t>100340</t>
  </si>
  <si>
    <t>991000610239702656</t>
  </si>
  <si>
    <t>2258356930002656</t>
  </si>
  <si>
    <t>32285000697234</t>
  </si>
  <si>
    <t>893249504</t>
  </si>
  <si>
    <t>D767.99.S3 U5 1950</t>
  </si>
  <si>
    <t>0                      D  0767990S  3                  U  5           1950</t>
  </si>
  <si>
    <t>Saipan : the beginning of the end / [by] Carl W. Hoffman, USMC.</t>
  </si>
  <si>
    <t>[Washington] : Historical Division, U.S. Marine Corps, 1950.</t>
  </si>
  <si>
    <t>1995-01-20</t>
  </si>
  <si>
    <t>5611631640:eng</t>
  </si>
  <si>
    <t>28592685</t>
  </si>
  <si>
    <t>991003672759702656</t>
  </si>
  <si>
    <t>2256531550002656</t>
  </si>
  <si>
    <t>32285001060457</t>
  </si>
  <si>
    <t>893252613</t>
  </si>
  <si>
    <t>D768.15 .B475 1995</t>
  </si>
  <si>
    <t>0                      D  0768150B  475         1995</t>
  </si>
  <si>
    <t>Maple leaf against the Axis : Canada's Second World War / David J. Bercuson.</t>
  </si>
  <si>
    <t>Bercuson, David Jay.</t>
  </si>
  <si>
    <t>Toronto : Stoddart, c1995.</t>
  </si>
  <si>
    <t>1998-02-17</t>
  </si>
  <si>
    <t>1996-07-15</t>
  </si>
  <si>
    <t>198556238:eng</t>
  </si>
  <si>
    <t>31779684</t>
  </si>
  <si>
    <t>991002438229702656</t>
  </si>
  <si>
    <t>2258731860002656</t>
  </si>
  <si>
    <t>9780773728615</t>
  </si>
  <si>
    <t>32285002212230</t>
  </si>
  <si>
    <t>893421366</t>
  </si>
  <si>
    <t>D768.15 .G72 1995</t>
  </si>
  <si>
    <t>0                      D  0768150G  72          1995</t>
  </si>
  <si>
    <t>The generals : the Canadian army's senior commanders in the Second World War / J.L. Granatstein.</t>
  </si>
  <si>
    <t>Granatstein, J. L.</t>
  </si>
  <si>
    <t>Toronto, Canada : Stoddart, [1995].</t>
  </si>
  <si>
    <t>1996-07-16</t>
  </si>
  <si>
    <t>865298497:eng</t>
  </si>
  <si>
    <t>28020047</t>
  </si>
  <si>
    <t>991002176079702656</t>
  </si>
  <si>
    <t>2269670310002656</t>
  </si>
  <si>
    <t>9780773727304</t>
  </si>
  <si>
    <t>32285002212800</t>
  </si>
  <si>
    <t>893523284</t>
  </si>
  <si>
    <t>D768.15 .M84 1990</t>
  </si>
  <si>
    <t>0                      D  0768150M  84          1990</t>
  </si>
  <si>
    <t>Mutual hostages : Canadians and Japanese during the Second World War / Patricia E. Roy ... [et al.].</t>
  </si>
  <si>
    <t>Toronto ; Buffalo : University of Toronto Press, c1990.</t>
  </si>
  <si>
    <t>2000-11-08</t>
  </si>
  <si>
    <t>30941109:eng</t>
  </si>
  <si>
    <t>28291841</t>
  </si>
  <si>
    <t>991003326199702656</t>
  </si>
  <si>
    <t>2259654510002656</t>
  </si>
  <si>
    <t>9780802057747</t>
  </si>
  <si>
    <t>32285004264635</t>
  </si>
  <si>
    <t>893787225</t>
  </si>
  <si>
    <t>D769 .K46 1985</t>
  </si>
  <si>
    <t>0                      D  0769000K  46          1985</t>
  </si>
  <si>
    <t>For the duration... : the United States goes to war, Pearl Harbor-1942 / Lee Kennett.</t>
  </si>
  <si>
    <t>Kennett, Lee B.</t>
  </si>
  <si>
    <t>New York : Scribner, c1985.</t>
  </si>
  <si>
    <t>1990-04-20</t>
  </si>
  <si>
    <t>196750025:eng</t>
  </si>
  <si>
    <t>11533372</t>
  </si>
  <si>
    <t>991000551359702656</t>
  </si>
  <si>
    <t>2258369730002656</t>
  </si>
  <si>
    <t>9780684182391</t>
  </si>
  <si>
    <t>32285000130343</t>
  </si>
  <si>
    <t>893225094</t>
  </si>
  <si>
    <t>D769 .L4</t>
  </si>
  <si>
    <t>0                      D  0769000L  4</t>
  </si>
  <si>
    <t>I was there; the personal story of the Chief of Staff to Presidents Roosevelt and Truman, based on his notes and diaries made at the time. With a foreword by President Truman.</t>
  </si>
  <si>
    <t>Leahy, William D.</t>
  </si>
  <si>
    <t>New York, Whittlesey House [1950]</t>
  </si>
  <si>
    <t>2001-06-21</t>
  </si>
  <si>
    <t>477513:eng</t>
  </si>
  <si>
    <t>397109</t>
  </si>
  <si>
    <t>991002676319702656</t>
  </si>
  <si>
    <t>2261562170002656</t>
  </si>
  <si>
    <t>32285002332434</t>
  </si>
  <si>
    <t>893323222</t>
  </si>
  <si>
    <t>D769 .O64 1993</t>
  </si>
  <si>
    <t>0                      D  0769000O  64          1993</t>
  </si>
  <si>
    <t>A democracy at war : America's fight at home and abroad in World War II / William L. O'Neill.</t>
  </si>
  <si>
    <t>O'Neill, William L.</t>
  </si>
  <si>
    <t>New York : Free Press ; Toronto : Maxwell Macmillan Canada ; New York : Maxwell Macmillan International, c1993.</t>
  </si>
  <si>
    <t>2002-02-07</t>
  </si>
  <si>
    <t>2679270:eng</t>
  </si>
  <si>
    <t>27976721</t>
  </si>
  <si>
    <t>991002174649702656</t>
  </si>
  <si>
    <t>2261102830002656</t>
  </si>
  <si>
    <t>9780029236789</t>
  </si>
  <si>
    <t>32285001956472</t>
  </si>
  <si>
    <t>893445006</t>
  </si>
  <si>
    <t>D769 .T42 2000</t>
  </si>
  <si>
    <t>0                      D  0769000T  42          2000</t>
  </si>
  <si>
    <t>Double victory : a multicultural history of America in World War II / Ronald Takaki.</t>
  </si>
  <si>
    <t>Takaki, Ronald T., 1939-2009.</t>
  </si>
  <si>
    <t>Boston : Little, Brown and Co., c2000.</t>
  </si>
  <si>
    <t>256599657:eng</t>
  </si>
  <si>
    <t>42027419</t>
  </si>
  <si>
    <t>991003258449702656</t>
  </si>
  <si>
    <t>2266442650002656</t>
  </si>
  <si>
    <t>9780316831550</t>
  </si>
  <si>
    <t>32285003765103</t>
  </si>
  <si>
    <t>893348494</t>
  </si>
  <si>
    <t>D769.1 .B79</t>
  </si>
  <si>
    <t>0                      D  0769100B  79</t>
  </si>
  <si>
    <t>Seeds of Mideast crisis : the United States diplomatic role in the Middle East during World War II / Thomas A. Bryson.</t>
  </si>
  <si>
    <t>Bryson, Thomas A., 1931-</t>
  </si>
  <si>
    <t>Jefferson, N.C. : McFarland, 1981.</t>
  </si>
  <si>
    <t>207842454:eng</t>
  </si>
  <si>
    <t>6331349</t>
  </si>
  <si>
    <t>991004965049702656</t>
  </si>
  <si>
    <t>2272412960002656</t>
  </si>
  <si>
    <t>9780899500195</t>
  </si>
  <si>
    <t>32285001210862</t>
  </si>
  <si>
    <t>893260377</t>
  </si>
  <si>
    <t>D769.3 10th .P88 1991</t>
  </si>
  <si>
    <t>0                      D  0769300                                                           10th .P88 1991</t>
  </si>
  <si>
    <t>Green cognac : the education of a mountain fighter / William Lowell Putnam.</t>
  </si>
  <si>
    <t>Putnam, William Lowell, III, 1924-2014.</t>
  </si>
  <si>
    <t>New York : AAC Press, c1991.</t>
  </si>
  <si>
    <t>2001-02-16</t>
  </si>
  <si>
    <t>1993-07-12</t>
  </si>
  <si>
    <t>909848292:eng</t>
  </si>
  <si>
    <t>26648879</t>
  </si>
  <si>
    <t>991002078699702656</t>
  </si>
  <si>
    <t>2263206040002656</t>
  </si>
  <si>
    <t>9780930410506</t>
  </si>
  <si>
    <t>32285001702272</t>
  </si>
  <si>
    <t>893322529</t>
  </si>
  <si>
    <t>D769.3053d .A5</t>
  </si>
  <si>
    <t>0                      D  0769000                                                           .3053d .A5</t>
  </si>
  <si>
    <t>Spearhead in the west, 1941-45, the Third Armored Division.</t>
  </si>
  <si>
    <t>United States. Army. Armored Division, 3rd.</t>
  </si>
  <si>
    <t>[Frankfurt am Main-Schwanheim, F.J. Henrich, 1945]</t>
  </si>
  <si>
    <t>2000-04-17</t>
  </si>
  <si>
    <t>5474993947:eng</t>
  </si>
  <si>
    <t>1262878</t>
  </si>
  <si>
    <t>991003657169702656</t>
  </si>
  <si>
    <t>2263326610002656</t>
  </si>
  <si>
    <t>32285002332459</t>
  </si>
  <si>
    <t>893793864</t>
  </si>
  <si>
    <t>D769.35 .A7</t>
  </si>
  <si>
    <t>0                      D  0769350A  7</t>
  </si>
  <si>
    <t>The Chemical Warfare Service in World War II : a report of accomplishments.</t>
  </si>
  <si>
    <t>Chemical Corps Association, Washington, D.C.</t>
  </si>
  <si>
    <t>New York : Reinhold Pub. Corp., 1948.</t>
  </si>
  <si>
    <t>1997-11-20</t>
  </si>
  <si>
    <t>1994-12-08</t>
  </si>
  <si>
    <t>4485197:eng</t>
  </si>
  <si>
    <t>11772559</t>
  </si>
  <si>
    <t>991000587479702656</t>
  </si>
  <si>
    <t>2272324570002656</t>
  </si>
  <si>
    <t>32285001981074</t>
  </si>
  <si>
    <t>893521814</t>
  </si>
  <si>
    <t>D769.45 D38 1996</t>
  </si>
  <si>
    <t>0                      D  0769450D  38          1996</t>
  </si>
  <si>
    <t>The unsinkable fleet : the politics of U.S. Navy expansion in World War II / Joel R. Davidson.</t>
  </si>
  <si>
    <t>Davidson, Joel R. (Joel Robert), 1959-</t>
  </si>
  <si>
    <t>Annapolis, Md. : Naval Institute Press, c1996.</t>
  </si>
  <si>
    <t>1998-02-19</t>
  </si>
  <si>
    <t>20659056:eng</t>
  </si>
  <si>
    <t>34472914</t>
  </si>
  <si>
    <t>991002628769702656</t>
  </si>
  <si>
    <t>2265128640002656</t>
  </si>
  <si>
    <t>9781557501561</t>
  </si>
  <si>
    <t>32285003314274</t>
  </si>
  <si>
    <t>893341646</t>
  </si>
  <si>
    <t>D769.8.A6 T46</t>
  </si>
  <si>
    <t>0                      D  0769800A  6                  T  46</t>
  </si>
  <si>
    <t>The spoilage / by Dorothy Swaine Thomas and Richard S. Nishimoto. With contributions by Rosalie A. Hankey [and others]</t>
  </si>
  <si>
    <t>Thomas, Dorothy Swaine, 1899-1977.</t>
  </si>
  <si>
    <t>Berkeley : University of California Press, 1974, c1946.</t>
  </si>
  <si>
    <t>California library reprint series</t>
  </si>
  <si>
    <t>1995-02-17</t>
  </si>
  <si>
    <t>1990-02-19</t>
  </si>
  <si>
    <t>196510339:eng</t>
  </si>
  <si>
    <t>1171034</t>
  </si>
  <si>
    <t>991003589169702656</t>
  </si>
  <si>
    <t>2270007630002656</t>
  </si>
  <si>
    <t>9780520026377</t>
  </si>
  <si>
    <t>32285000047109</t>
  </si>
  <si>
    <t>893887634</t>
  </si>
  <si>
    <t>D769.85.D6 B75 1988</t>
  </si>
  <si>
    <t>0                      D  0769850D  6                  B  75          1988</t>
  </si>
  <si>
    <t>Washington goes to war / David Brinkley.</t>
  </si>
  <si>
    <t>Brinkley, David.</t>
  </si>
  <si>
    <t>New York : A.A. Knopf, 1988.</t>
  </si>
  <si>
    <t>332510:eng</t>
  </si>
  <si>
    <t>17479823</t>
  </si>
  <si>
    <t>991001222219702656</t>
  </si>
  <si>
    <t>2271001880002656</t>
  </si>
  <si>
    <t>9780394510255</t>
  </si>
  <si>
    <t>32285000047141</t>
  </si>
  <si>
    <t>893897626</t>
  </si>
  <si>
    <t>D769.87.A4 G5</t>
  </si>
  <si>
    <t>0                      D  0769870A  4                  G  5</t>
  </si>
  <si>
    <t>Our hidden front / by William Gilman.</t>
  </si>
  <si>
    <t>Gilman, William, 1909-1978.</t>
  </si>
  <si>
    <t>New York : Reynal &amp; Hitchcock, inc., [1944]</t>
  </si>
  <si>
    <t>2005-05-23</t>
  </si>
  <si>
    <t>1994-08-23</t>
  </si>
  <si>
    <t>2297973:eng</t>
  </si>
  <si>
    <t>1377005</t>
  </si>
  <si>
    <t>991003727849702656</t>
  </si>
  <si>
    <t>2258136770002656</t>
  </si>
  <si>
    <t>32285001938488</t>
  </si>
  <si>
    <t>893699337</t>
  </si>
  <si>
    <t>D770 .P8 1970</t>
  </si>
  <si>
    <t>0                      D  0770000P  8           1970</t>
  </si>
  <si>
    <t>The influence of sea power in World War II / by W. D. Puleston.</t>
  </si>
  <si>
    <t>Puleston, W. D. (William Dilworth), 1881-1968.</t>
  </si>
  <si>
    <t>Westport, Conn. : Greenwood Press, [1970, c1947]</t>
  </si>
  <si>
    <t>499973:eng</t>
  </si>
  <si>
    <t>127401</t>
  </si>
  <si>
    <t>991000725089702656</t>
  </si>
  <si>
    <t>2261001970002656</t>
  </si>
  <si>
    <t>9780837139975</t>
  </si>
  <si>
    <t>32285000091974</t>
  </si>
  <si>
    <t>893231362</t>
  </si>
  <si>
    <t>D771 .S6</t>
  </si>
  <si>
    <t>0                      D  0771000S  6</t>
  </si>
  <si>
    <t>The great ships pass : British battleships at war, 1939-1945 / Peter C. Smith. --</t>
  </si>
  <si>
    <t>Smith, Peter C. (Peter Charles), 1940-</t>
  </si>
  <si>
    <t>Annapolis : Naval Institute Press, 1977.</t>
  </si>
  <si>
    <t>54232496:eng</t>
  </si>
  <si>
    <t>4008605</t>
  </si>
  <si>
    <t>991004568899702656</t>
  </si>
  <si>
    <t>2262578530002656</t>
  </si>
  <si>
    <t>9780870218262</t>
  </si>
  <si>
    <t>32285000047166</t>
  </si>
  <si>
    <t>893606194</t>
  </si>
  <si>
    <t>D771 .V65 1975</t>
  </si>
  <si>
    <t>0                      D  0771000V  65          1975</t>
  </si>
  <si>
    <t>The German Navy in World War II / Edward P. Von der Porten.</t>
  </si>
  <si>
    <t>Von der Porten, Edward P.</t>
  </si>
  <si>
    <t>New York : Galahad Books, [1975] c1969.</t>
  </si>
  <si>
    <t>1994-05-09</t>
  </si>
  <si>
    <t>1135859:eng</t>
  </si>
  <si>
    <t>1340440</t>
  </si>
  <si>
    <t>991003703879702656</t>
  </si>
  <si>
    <t>2261975050002656</t>
  </si>
  <si>
    <t>9780883652060</t>
  </si>
  <si>
    <t>32285000301126</t>
  </si>
  <si>
    <t>893525124</t>
  </si>
  <si>
    <t>D771 .W38 1978</t>
  </si>
  <si>
    <t>0                      D  0771000W  38          1978</t>
  </si>
  <si>
    <t>Operation Sea Lion : German plans for the invasion of England, 1939-1942 / by Ronald Wheatley. --</t>
  </si>
  <si>
    <t>Wheatley, Ronald B., 1941-</t>
  </si>
  <si>
    <t>Westport, Conn. : Greenwood Press, [1978] c1958.</t>
  </si>
  <si>
    <t>445227:eng</t>
  </si>
  <si>
    <t>4036645</t>
  </si>
  <si>
    <t>991004573139702656</t>
  </si>
  <si>
    <t>2269500230002656</t>
  </si>
  <si>
    <t>9780313206054</t>
  </si>
  <si>
    <t>32285000047174</t>
  </si>
  <si>
    <t>893436437</t>
  </si>
  <si>
    <t>D773 .B28 1979</t>
  </si>
  <si>
    <t>0                      D  0773000B  28          1979</t>
  </si>
  <si>
    <t>Hitler vs. Roosevelt : the undeclared naval war / Thomas A. Bailey and Paul B. Ryan.</t>
  </si>
  <si>
    <t>New York : Free Press, c1979.</t>
  </si>
  <si>
    <t>1992-10-06</t>
  </si>
  <si>
    <t>366100877:eng</t>
  </si>
  <si>
    <t>4834201</t>
  </si>
  <si>
    <t>991004730079702656</t>
  </si>
  <si>
    <t>2267570570002656</t>
  </si>
  <si>
    <t>9780029012703</t>
  </si>
  <si>
    <t>32285000047182</t>
  </si>
  <si>
    <t>893526435</t>
  </si>
  <si>
    <t>D773 .C35</t>
  </si>
  <si>
    <t>0                      D  0773000C  35</t>
  </si>
  <si>
    <t>Torpedo junction; with the Pacific fleet from Pearl Harbor to Midway, by Robert J. Casey.</t>
  </si>
  <si>
    <t>Casey, Robert J. (Robert Joseph), 1890-1962.</t>
  </si>
  <si>
    <t>Indianapolis, New York, The Bobbs-Merrill Company [1942]</t>
  </si>
  <si>
    <t>1322666:eng</t>
  </si>
  <si>
    <t>220700</t>
  </si>
  <si>
    <t>991001313449702656</t>
  </si>
  <si>
    <t>2261464930002656</t>
  </si>
  <si>
    <t>32285002332632</t>
  </si>
  <si>
    <t>893334246</t>
  </si>
  <si>
    <t>D773 .K3</t>
  </si>
  <si>
    <t>0                      D  0773000K  3</t>
  </si>
  <si>
    <t>Battle report / prepared from official sources by Walter Karig [and others]</t>
  </si>
  <si>
    <t>Karig, Walter, 1898-1956.</t>
  </si>
  <si>
    <t>New York : Published for the Council on Books in Wartime by Farrar &amp; Rinehart, 1944-52.</t>
  </si>
  <si>
    <t>1995-03-28</t>
  </si>
  <si>
    <t>3944142107:eng</t>
  </si>
  <si>
    <t>834294</t>
  </si>
  <si>
    <t>991003310389702656</t>
  </si>
  <si>
    <t>2267634980002656</t>
  </si>
  <si>
    <t>32285002020641</t>
  </si>
  <si>
    <t>893258298</t>
  </si>
  <si>
    <t>32285001798981</t>
  </si>
  <si>
    <t>893252242</t>
  </si>
  <si>
    <t>D773 .M62 1989</t>
  </si>
  <si>
    <t>0                      D  0773000M  62          1989</t>
  </si>
  <si>
    <t>The two-ocean war : a short history of the United States Navy in the Second World War / by Samuel Eliot Morison.</t>
  </si>
  <si>
    <t>Morison, Samuel Eliot, 1887-1976.</t>
  </si>
  <si>
    <t>Boston : Little, Brown, [1989], c1963.</t>
  </si>
  <si>
    <t>1997-09-08</t>
  </si>
  <si>
    <t>1997-08-21</t>
  </si>
  <si>
    <t>448501:eng</t>
  </si>
  <si>
    <t>19981396</t>
  </si>
  <si>
    <t>991001522119702656</t>
  </si>
  <si>
    <t>2259706250002656</t>
  </si>
  <si>
    <t>9780316583664</t>
  </si>
  <si>
    <t>32285003001483</t>
  </si>
  <si>
    <t>893516253</t>
  </si>
  <si>
    <t>D773 .R53 1974</t>
  </si>
  <si>
    <t>0                      D  0773000R  53          1974</t>
  </si>
  <si>
    <t>Sea war; the story of the U.S. Merchant Marine in World War II.</t>
  </si>
  <si>
    <t>Riesenberg, Felix, 1913-1962.</t>
  </si>
  <si>
    <t>Westport, Conn., Greenwood Press [1974, c1956]</t>
  </si>
  <si>
    <t>2000-10-12</t>
  </si>
  <si>
    <t>905771174:eng</t>
  </si>
  <si>
    <t>947871</t>
  </si>
  <si>
    <t>991003408789702656</t>
  </si>
  <si>
    <t>2264657820002656</t>
  </si>
  <si>
    <t>9780837174792</t>
  </si>
  <si>
    <t>32285002332640</t>
  </si>
  <si>
    <t>893336466</t>
  </si>
  <si>
    <t>D773 .S8</t>
  </si>
  <si>
    <t>0                      D  0773000S  8</t>
  </si>
  <si>
    <t>Ships of the Esso fleet in World War II.</t>
  </si>
  <si>
    <t>Standard Oil Company.</t>
  </si>
  <si>
    <t>[New York] Standard Oil Company (New Jersey) c1946.</t>
  </si>
  <si>
    <t>1997-05-10</t>
  </si>
  <si>
    <t>284127:eng</t>
  </si>
  <si>
    <t>1261684</t>
  </si>
  <si>
    <t>991003656589702656</t>
  </si>
  <si>
    <t>2263872040002656</t>
  </si>
  <si>
    <t>32285002332657</t>
  </si>
  <si>
    <t>893799995</t>
  </si>
  <si>
    <t>D774.M5 A8 1948</t>
  </si>
  <si>
    <t>0                      D  0774000M  5                  A  8           1948</t>
  </si>
  <si>
    <t>Marines at Midway / [by] R.D. Heinl, Jr.</t>
  </si>
  <si>
    <t>[Washington] : Historical Section, Division of Public Information, headquarters, U.S. Marine Corps, 1948.</t>
  </si>
  <si>
    <t>1993-01-11</t>
  </si>
  <si>
    <t>1992-09-30</t>
  </si>
  <si>
    <t>1950680795:eng</t>
  </si>
  <si>
    <t>3856095</t>
  </si>
  <si>
    <t>991004532519702656</t>
  </si>
  <si>
    <t>2266660940002656</t>
  </si>
  <si>
    <t>32285001323038</t>
  </si>
  <si>
    <t>893519766</t>
  </si>
  <si>
    <t>D777 .J3 1986</t>
  </si>
  <si>
    <t>0                      D  0777000J  3           1986</t>
  </si>
  <si>
    <t>The Japanese Navy in World War II : in the words of former Japanese Naval officers / introduction and commentary by Raymond O'Connor.</t>
  </si>
  <si>
    <t>Annapolis, Md. Naval Institute Press, 1986.</t>
  </si>
  <si>
    <t>2nd ed. / editor and translator of the 2nd ed., David C. Evans.</t>
  </si>
  <si>
    <t>1996-05-13</t>
  </si>
  <si>
    <t>347498839:eng</t>
  </si>
  <si>
    <t>13560220</t>
  </si>
  <si>
    <t>991000845769702656</t>
  </si>
  <si>
    <t>2263657450002656</t>
  </si>
  <si>
    <t>9780870213168</t>
  </si>
  <si>
    <t>32285000087519</t>
  </si>
  <si>
    <t>893772025</t>
  </si>
  <si>
    <t>D780 .W45 1998</t>
  </si>
  <si>
    <t>0                      D  0780000W  45          1998</t>
  </si>
  <si>
    <t>Iron coffins : a personal account of the German U-boat battles of World War II / by Herbert A. Werner.</t>
  </si>
  <si>
    <t>Werner, Herbert A.</t>
  </si>
  <si>
    <t>New York : Da Capo Press, 1998.</t>
  </si>
  <si>
    <t>1998-04-23</t>
  </si>
  <si>
    <t>9250958670:eng</t>
  </si>
  <si>
    <t>37783085</t>
  </si>
  <si>
    <t>991002866539702656</t>
  </si>
  <si>
    <t>2266259950002656</t>
  </si>
  <si>
    <t>9780306808425</t>
  </si>
  <si>
    <t>32285003376919</t>
  </si>
  <si>
    <t>893440620</t>
  </si>
  <si>
    <t>D781 .B7813 1978</t>
  </si>
  <si>
    <t>0                      D  0781000B  7813        1978</t>
  </si>
  <si>
    <t>U-boat war / Lothar-Günther Buchheim ; translated by Gudie Lawaetz ; with an essay by Michael Salewski. --</t>
  </si>
  <si>
    <t>Buchheim, Lothar Günther.</t>
  </si>
  <si>
    <t>New York : Knopf, 1978.</t>
  </si>
  <si>
    <t>1st American ed. --</t>
  </si>
  <si>
    <t>1996-02-12</t>
  </si>
  <si>
    <t>4494893784:eng</t>
  </si>
  <si>
    <t>3540660</t>
  </si>
  <si>
    <t>991004458489702656</t>
  </si>
  <si>
    <t>2265793740002656</t>
  </si>
  <si>
    <t>9780394414379</t>
  </si>
  <si>
    <t>32285000051374</t>
  </si>
  <si>
    <t>893882493</t>
  </si>
  <si>
    <t>D781 .D613</t>
  </si>
  <si>
    <t>0                      D  0781000D  613</t>
  </si>
  <si>
    <t>Memoirs : ten years and twenty days / by Karl Doenitz ; translated by R. H. Stevens, in collaboration with David Woodward.</t>
  </si>
  <si>
    <t>Dönitz, Karl, 1891-1980.</t>
  </si>
  <si>
    <t>Cleveland : World Pub. Co., [1959]</t>
  </si>
  <si>
    <t>1998-03-21</t>
  </si>
  <si>
    <t>364903175:eng</t>
  </si>
  <si>
    <t>300187</t>
  </si>
  <si>
    <t>991002253029702656</t>
  </si>
  <si>
    <t>2269487630002656</t>
  </si>
  <si>
    <t>32285000278464</t>
  </si>
  <si>
    <t>893529747</t>
  </si>
  <si>
    <t>D781.H46 M85 1993</t>
  </si>
  <si>
    <t>0                      D  0781000H  46                 M  85          1993</t>
  </si>
  <si>
    <t>Lone wolf : the life and death of U-boat ace Werner Henke / Timothy P. Mulligan.</t>
  </si>
  <si>
    <t>Mulligan, Timothy.</t>
  </si>
  <si>
    <t>Westport, Conn. : Praeger, 1993.</t>
  </si>
  <si>
    <t>897882328:eng</t>
  </si>
  <si>
    <t>27432188</t>
  </si>
  <si>
    <t>991002141239702656</t>
  </si>
  <si>
    <t>2264869630002656</t>
  </si>
  <si>
    <t>9780275936778</t>
  </si>
  <si>
    <t>32285001895209</t>
  </si>
  <si>
    <t>893433527</t>
  </si>
  <si>
    <t>D783 .C6</t>
  </si>
  <si>
    <t>0                      D  0783000C  6</t>
  </si>
  <si>
    <t>Battle submerged : submarine fighters of World War II / [by] Harley Cope and Walter Karig.</t>
  </si>
  <si>
    <t>Cope, Harley F. (Harley Francis), 1898-1963.</t>
  </si>
  <si>
    <t>New York : Norton, [1951]</t>
  </si>
  <si>
    <t>437043729:eng</t>
  </si>
  <si>
    <t>1526249</t>
  </si>
  <si>
    <t>991003799869702656</t>
  </si>
  <si>
    <t>2258677170002656</t>
  </si>
  <si>
    <t>32285000913854</t>
  </si>
  <si>
    <t>893900392</t>
  </si>
  <si>
    <t>D783 .L38 1998</t>
  </si>
  <si>
    <t>0                      D  0783000L  38          1998</t>
  </si>
  <si>
    <t>Back from the deep : the strange story of the sister subs Squalus and Sculpin / Carl LaVO.</t>
  </si>
  <si>
    <t>LaVO, Carl, 1944-</t>
  </si>
  <si>
    <t>Annapolis, Md. : Naval Institute Press, 1998, c1994.</t>
  </si>
  <si>
    <t>Bluejacket books</t>
  </si>
  <si>
    <t>2001-05-15</t>
  </si>
  <si>
    <t>24115479:eng</t>
  </si>
  <si>
    <t>39946918</t>
  </si>
  <si>
    <t>991002977459702656</t>
  </si>
  <si>
    <t>2264773920002656</t>
  </si>
  <si>
    <t>9781557505309</t>
  </si>
  <si>
    <t>32285004317847</t>
  </si>
  <si>
    <t>893245887</t>
  </si>
  <si>
    <t>D783 .R6</t>
  </si>
  <si>
    <t>0                      D  0783000R  6</t>
  </si>
  <si>
    <t>United States submarine operations in World War II / written for the Bureau of Naval Personnel from material prepared by R.G. Voge [and others] Designed and illustrated by Fred Freeman, photographs by the U.S. Navy.</t>
  </si>
  <si>
    <t>Roscoe, Theodore.</t>
  </si>
  <si>
    <t>Annapolis : United States Naval Institute, [c1949]</t>
  </si>
  <si>
    <t>582206:eng</t>
  </si>
  <si>
    <t>1127592</t>
  </si>
  <si>
    <t>991003558399702656</t>
  </si>
  <si>
    <t>2267225300002656</t>
  </si>
  <si>
    <t>32285000913847</t>
  </si>
  <si>
    <t>893868561</t>
  </si>
  <si>
    <t>D785 .G8</t>
  </si>
  <si>
    <t>0                      D  0785000G  8</t>
  </si>
  <si>
    <t>The war in the air : a pictorial history of World War II air forces in combat / with a foreword by Curtis E. LeMay.</t>
  </si>
  <si>
    <t>New York : Crown Publishers, [1962]</t>
  </si>
  <si>
    <t>1993-10-29</t>
  </si>
  <si>
    <t>1992-04-11</t>
  </si>
  <si>
    <t>1297563:eng</t>
  </si>
  <si>
    <t>171337</t>
  </si>
  <si>
    <t>991000995669702656</t>
  </si>
  <si>
    <t>2267222740002656</t>
  </si>
  <si>
    <t>32285001058170</t>
  </si>
  <si>
    <t>893891210</t>
  </si>
  <si>
    <t>D785 .O9</t>
  </si>
  <si>
    <t>0                      D  0785000O  9</t>
  </si>
  <si>
    <t>The air war, 1939-1945 / R.J. Overy.</t>
  </si>
  <si>
    <t>New York : Stein and Day, 1981, c1980.</t>
  </si>
  <si>
    <t>2005-02-15</t>
  </si>
  <si>
    <t>1990-09-12</t>
  </si>
  <si>
    <t>473111:eng</t>
  </si>
  <si>
    <t>7274661</t>
  </si>
  <si>
    <t>991005096739702656</t>
  </si>
  <si>
    <t>2260345050002656</t>
  </si>
  <si>
    <t>9780812827927</t>
  </si>
  <si>
    <t>32285000257823</t>
  </si>
  <si>
    <t>893776822</t>
  </si>
  <si>
    <t>D785 .P5313 1985</t>
  </si>
  <si>
    <t>0                      D  0785000P  5313        1985</t>
  </si>
  <si>
    <t>The air war, 1939-1945 / by Janusz Piekalkiewicz ; translated from the German by Jan van Heurck.</t>
  </si>
  <si>
    <t>Piekałkiewicz, Janusz.</t>
  </si>
  <si>
    <t>Poole, Dorset : Blandford Press ; Harrisburg, Pa. : Historical Times Inc., 1985.</t>
  </si>
  <si>
    <t>1993-07-19</t>
  </si>
  <si>
    <t>4057581:eng</t>
  </si>
  <si>
    <t>11650510</t>
  </si>
  <si>
    <t>991000571269702656</t>
  </si>
  <si>
    <t>2269770170002656</t>
  </si>
  <si>
    <t>9780918678058</t>
  </si>
  <si>
    <t>32285000122274</t>
  </si>
  <si>
    <t>893720733</t>
  </si>
  <si>
    <t>D785 .P75 2003</t>
  </si>
  <si>
    <t>0                      D  0785000P  75          2003</t>
  </si>
  <si>
    <t>Targeting the Reich : Allied photographic reconnaissance over Europe, 1939-1945 / Alfred Price.</t>
  </si>
  <si>
    <t>Price, Alfred.</t>
  </si>
  <si>
    <t>London : Greenhill ; Mechanicsburg, PA : Stackpole, 2003.</t>
  </si>
  <si>
    <t>2003-08-07</t>
  </si>
  <si>
    <t>2003-08-06</t>
  </si>
  <si>
    <t>375117878:eng</t>
  </si>
  <si>
    <t>51270803</t>
  </si>
  <si>
    <t>991004089169702656</t>
  </si>
  <si>
    <t>2261307180002656</t>
  </si>
  <si>
    <t>9781853675461</t>
  </si>
  <si>
    <t>32285004758842</t>
  </si>
  <si>
    <t>893718451</t>
  </si>
  <si>
    <t>D785.U573 M3</t>
  </si>
  <si>
    <t>0                      D  0785000U  573                M  3</t>
  </si>
  <si>
    <t>Strategic bombing in World War Two : the story of the United States Strategic Bombing Survey / David MacIsaac.</t>
  </si>
  <si>
    <t>MacIsaac, Dave.</t>
  </si>
  <si>
    <t>New York : Garland Pub. Co., 1976.</t>
  </si>
  <si>
    <t>1996-11-11</t>
  </si>
  <si>
    <t>1990-09-13</t>
  </si>
  <si>
    <t>222671148:eng</t>
  </si>
  <si>
    <t>2020054</t>
  </si>
  <si>
    <t>991003980929702656</t>
  </si>
  <si>
    <t>2271691230002656</t>
  </si>
  <si>
    <t>9780824020255</t>
  </si>
  <si>
    <t>32285000257849</t>
  </si>
  <si>
    <t>893788136</t>
  </si>
  <si>
    <t>D786 .M47 1984</t>
  </si>
  <si>
    <t>0                      D  0786000M  47          1984</t>
  </si>
  <si>
    <t>"Bomber" Harris and the strategic bombing offensive, 1939-1945 / by Charles Messenger.</t>
  </si>
  <si>
    <t>Messenger, Charles, 1941-</t>
  </si>
  <si>
    <t>New York : St. Martin's Press, 1984.</t>
  </si>
  <si>
    <t>3821000:eng</t>
  </si>
  <si>
    <t>10949962</t>
  </si>
  <si>
    <t>991000464819702656</t>
  </si>
  <si>
    <t>2271438050002656</t>
  </si>
  <si>
    <t>9780312087609</t>
  </si>
  <si>
    <t>32285000099324</t>
  </si>
  <si>
    <t>893896891</t>
  </si>
  <si>
    <t>D787 .B413 1968</t>
  </si>
  <si>
    <t>0                      D  0787000B  413         1968</t>
  </si>
  <si>
    <t>The Luftwaffe war diaries [by] Cajus Bekker. Translated and edited by Frank Ziegler.</t>
  </si>
  <si>
    <t>Bekker, Cajus, 1924-1975.</t>
  </si>
  <si>
    <t>Garden City, N.Y., Doubleday, 1968 [c1966]</t>
  </si>
  <si>
    <t>[1st ed. in the U.S.]</t>
  </si>
  <si>
    <t>1566914:eng</t>
  </si>
  <si>
    <t>440735</t>
  </si>
  <si>
    <t>991002782579702656</t>
  </si>
  <si>
    <t>2257130640002656</t>
  </si>
  <si>
    <t>32285000948462</t>
  </si>
  <si>
    <t>893504810</t>
  </si>
  <si>
    <t>D790 .A786 2001</t>
  </si>
  <si>
    <t>0                      D  0790000A  786         2001</t>
  </si>
  <si>
    <t>The wild blue : the men and boys who flew the B-24s over Germany / Stephen E. Ambrose.</t>
  </si>
  <si>
    <t>New York : Simon &amp; Schuster, c2001.</t>
  </si>
  <si>
    <t>2001-09-04</t>
  </si>
  <si>
    <t>113693105:eng</t>
  </si>
  <si>
    <t>46419848</t>
  </si>
  <si>
    <t>991003541689702656</t>
  </si>
  <si>
    <t>2268035800002656</t>
  </si>
  <si>
    <t>9780743203395</t>
  </si>
  <si>
    <t>32285004384615</t>
  </si>
  <si>
    <t>893524915</t>
  </si>
  <si>
    <t>D790 .A86</t>
  </si>
  <si>
    <t>0                      D  0790000A  86</t>
  </si>
  <si>
    <t>Bomber pilot : a memoir of World War II / by Philip Ardery.</t>
  </si>
  <si>
    <t>Ardery, Philip, 1914-</t>
  </si>
  <si>
    <t>Lexington : University Press of Kentucky, c1978.</t>
  </si>
  <si>
    <t>1999-09-25</t>
  </si>
  <si>
    <t>1990-06-12</t>
  </si>
  <si>
    <t>474144:eng</t>
  </si>
  <si>
    <t>4136595</t>
  </si>
  <si>
    <t>991004595739702656</t>
  </si>
  <si>
    <t>2258163820002656</t>
  </si>
  <si>
    <t>9780813113791</t>
  </si>
  <si>
    <t>32285000184829</t>
  </si>
  <si>
    <t>893526271</t>
  </si>
  <si>
    <t>D790 .B63</t>
  </si>
  <si>
    <t>0                      D  0790000B  63</t>
  </si>
  <si>
    <t>Baa baa, black sheep, by "Pappy" Boyington (Gregory Boyington)</t>
  </si>
  <si>
    <t>Boyington, Gregory, 1912-1988.</t>
  </si>
  <si>
    <t>New York, Putnam [1958]</t>
  </si>
  <si>
    <t>1999-11-27</t>
  </si>
  <si>
    <t>1992-04-22</t>
  </si>
  <si>
    <t>714406:eng</t>
  </si>
  <si>
    <t>2124961</t>
  </si>
  <si>
    <t>991004022699702656</t>
  </si>
  <si>
    <t>2271256110002656</t>
  </si>
  <si>
    <t>32285001068930</t>
  </si>
  <si>
    <t>893318702</t>
  </si>
  <si>
    <t>D790 .C466 1995</t>
  </si>
  <si>
    <t>0                      D  0790000C  466         1995</t>
  </si>
  <si>
    <t>Wings of morning : the story of the last American bomber shot down over Germany in World War II / Thomas Childers.</t>
  </si>
  <si>
    <t>Childers, Thomas, 1946-</t>
  </si>
  <si>
    <t>Reading, Mass. : Addison-Wesley Pub. Co., c1995.</t>
  </si>
  <si>
    <t>2003-03-04</t>
  </si>
  <si>
    <t>1995-05-31</t>
  </si>
  <si>
    <t>14401727:eng</t>
  </si>
  <si>
    <t>31295136</t>
  </si>
  <si>
    <t>991002406539702656</t>
  </si>
  <si>
    <t>2268048360002656</t>
  </si>
  <si>
    <t>9780201483109</t>
  </si>
  <si>
    <t>32285002048758</t>
  </si>
  <si>
    <t>893427563</t>
  </si>
  <si>
    <t>D790 .N64 1990</t>
  </si>
  <si>
    <t>0                      D  0790000N  64          1990</t>
  </si>
  <si>
    <t>For God, country, and the thrill of it : Women Airforce Service Pilots in World War II : photographic portraits and text / by Anne Noggle ; with an introduction by Dora Dougherty Strother.</t>
  </si>
  <si>
    <t>Noggle, Anne, 1922-2005.</t>
  </si>
  <si>
    <t>College Station : Texas A&amp;M University Press, c1990.</t>
  </si>
  <si>
    <t>txu</t>
  </si>
  <si>
    <t>The Charles and Elizabeth Prothro Texas photography series ; no. 1</t>
  </si>
  <si>
    <t>2004-01-15</t>
  </si>
  <si>
    <t>1999-04-13</t>
  </si>
  <si>
    <t>141472206:eng</t>
  </si>
  <si>
    <t>20417857</t>
  </si>
  <si>
    <t>991001573619702656</t>
  </si>
  <si>
    <t>2260824210002656</t>
  </si>
  <si>
    <t>9780890964019</t>
  </si>
  <si>
    <t>32285003551636</t>
  </si>
  <si>
    <t>893602683</t>
  </si>
  <si>
    <t>D790 .S33 1985</t>
  </si>
  <si>
    <t>0                      D  0790000S  33          1985</t>
  </si>
  <si>
    <t>Wings of judgment : American bombing in World War II / Ronald Schaffer.</t>
  </si>
  <si>
    <t>Schaffer, Ronald.</t>
  </si>
  <si>
    <t>New York : Oxford University Press, 1985.</t>
  </si>
  <si>
    <t>836703634:eng</t>
  </si>
  <si>
    <t>11785450</t>
  </si>
  <si>
    <t>991000591619702656</t>
  </si>
  <si>
    <t>2255806350002656</t>
  </si>
  <si>
    <t>9780195036299</t>
  </si>
  <si>
    <t>32285000257864</t>
  </si>
  <si>
    <t>893407341</t>
  </si>
  <si>
    <t>D793 .S73 1991</t>
  </si>
  <si>
    <t>0                      D  0793000S  73          1991</t>
  </si>
  <si>
    <t>Armour tactics in the Second World War : Panzer army campaigns of 1939-41 in German war diaries / Rudolf Steiger ; translated by Martin Fry.</t>
  </si>
  <si>
    <t>Steiger, Rudolf, 1946-</t>
  </si>
  <si>
    <t>New York : Berg : Distributed exclusively in the US and Canada by St. Martin's Press, 1991.</t>
  </si>
  <si>
    <t>Studies in military history</t>
  </si>
  <si>
    <t>2002-02-25</t>
  </si>
  <si>
    <t>1994-03-23</t>
  </si>
  <si>
    <t>3855891485:eng</t>
  </si>
  <si>
    <t>21907737</t>
  </si>
  <si>
    <t>991001728859702656</t>
  </si>
  <si>
    <t>2272398050002656</t>
  </si>
  <si>
    <t>9780854966943</t>
  </si>
  <si>
    <t>32285001857464</t>
  </si>
  <si>
    <t>893903547</t>
  </si>
  <si>
    <t>D794.5 .L83 1985</t>
  </si>
  <si>
    <t>0                      D  0794500L  83          1985</t>
  </si>
  <si>
    <t>Kommando : German special forces of World War Two / James Lucas.</t>
  </si>
  <si>
    <t>New York, N.Y. : St. Martin's Press, c1985.</t>
  </si>
  <si>
    <t>1992-01-11</t>
  </si>
  <si>
    <t>836711348:eng</t>
  </si>
  <si>
    <t>12105843</t>
  </si>
  <si>
    <t>991000641679702656</t>
  </si>
  <si>
    <t>2265287320002656</t>
  </si>
  <si>
    <t>9780312459406</t>
  </si>
  <si>
    <t>32285000257880</t>
  </si>
  <si>
    <t>893231280</t>
  </si>
  <si>
    <t>D799.G7 M32</t>
  </si>
  <si>
    <t>0                      D  0799000G  7                  M  32</t>
  </si>
  <si>
    <t>Ministry of morale : home front morale and the Ministry of Information in World War II / by Ian McLaine.</t>
  </si>
  <si>
    <t>McLaine, Ian, 1939-</t>
  </si>
  <si>
    <t>365144242:eng</t>
  </si>
  <si>
    <t>4911239</t>
  </si>
  <si>
    <t>991004746559702656</t>
  </si>
  <si>
    <t>2272061800002656</t>
  </si>
  <si>
    <t>9780049400559</t>
  </si>
  <si>
    <t>32285000257906</t>
  </si>
  <si>
    <t>893513619</t>
  </si>
  <si>
    <t>D802.A2 R47 2000</t>
  </si>
  <si>
    <t>0                      D  0802000A  2                  R  47          2000</t>
  </si>
  <si>
    <t>Resistance in Western Europe / edited by Bob Moore.</t>
  </si>
  <si>
    <t>Oxford ; New York : Berg, 2000.</t>
  </si>
  <si>
    <t>2005-04-05</t>
  </si>
  <si>
    <t>2002-03-05</t>
  </si>
  <si>
    <t>34791967:eng</t>
  </si>
  <si>
    <t>45434668</t>
  </si>
  <si>
    <t>991003731989702656</t>
  </si>
  <si>
    <t>2259640590002656</t>
  </si>
  <si>
    <t>9781859732748</t>
  </si>
  <si>
    <t>32285004459375</t>
  </si>
  <si>
    <t>893711714</t>
  </si>
  <si>
    <t>D802.A9 M6513 1989</t>
  </si>
  <si>
    <t>0                      D  0802000A  9                  M  6513        1989</t>
  </si>
  <si>
    <t>Fires in the night : the sacrifices and significance of the Austrian Resistance, 1938-1945 / Fritz Molden ; translated from the German by Harry Zohn.</t>
  </si>
  <si>
    <t>Molden, Fritz.</t>
  </si>
  <si>
    <t>Boulder : Westview Press, 1989.</t>
  </si>
  <si>
    <t>1997-03-17</t>
  </si>
  <si>
    <t>1990-11-09</t>
  </si>
  <si>
    <t>1151461122:eng</t>
  </si>
  <si>
    <t>20132697</t>
  </si>
  <si>
    <t>991001542329702656</t>
  </si>
  <si>
    <t>2262389970002656</t>
  </si>
  <si>
    <t>9780813309330</t>
  </si>
  <si>
    <t>32285000314228</t>
  </si>
  <si>
    <t>893621450</t>
  </si>
  <si>
    <t>D802.E9 H3313 1981</t>
  </si>
  <si>
    <t>0                      D  0802000E  9                  H  3313        1981</t>
  </si>
  <si>
    <t>European resistance movements, 1939-1945 : a complete history / by Jorgen Haestrup.</t>
  </si>
  <si>
    <t>Hæstrup, Jørgen.</t>
  </si>
  <si>
    <t>Westport, CT : Meckler Pub., 1981.</t>
  </si>
  <si>
    <t>1993-11-30</t>
  </si>
  <si>
    <t>1008453153:eng</t>
  </si>
  <si>
    <t>7577405</t>
  </si>
  <si>
    <t>991005136209702656</t>
  </si>
  <si>
    <t>2265615040002656</t>
  </si>
  <si>
    <t>9780930466367</t>
  </si>
  <si>
    <t>32285000047240</t>
  </si>
  <si>
    <t>893870576</t>
  </si>
  <si>
    <t>D802.F8 A7913 1993</t>
  </si>
  <si>
    <t>0                      D  0802000F  8                  A  7913        1993</t>
  </si>
  <si>
    <t>Outwitting the Gestapo / Lucie Aubrac ; translated by Konrad Bieber with the assistance of Betsy Wing ; with an introduction by Margaret Collins Weitz.</t>
  </si>
  <si>
    <t>Aubrac, Lucie, 1912-2007.</t>
  </si>
  <si>
    <t>Lincoln : University of Nebraska Press, c1993.</t>
  </si>
  <si>
    <t>nbu</t>
  </si>
  <si>
    <t>2002-02-28</t>
  </si>
  <si>
    <t>4923369995:eng</t>
  </si>
  <si>
    <t>26403498</t>
  </si>
  <si>
    <t>991002065869702656</t>
  </si>
  <si>
    <t>2268359930002656</t>
  </si>
  <si>
    <t>9780803210295</t>
  </si>
  <si>
    <t>32285001702447</t>
  </si>
  <si>
    <t>893334903</t>
  </si>
  <si>
    <t>D802.F8 B6985 2000</t>
  </si>
  <si>
    <t>0                      D  0802000F  8                  B  6985        2000</t>
  </si>
  <si>
    <t>The collaborator : the trial &amp; execution of Robert Brasillach / Alice Kaplan.</t>
  </si>
  <si>
    <t>Kaplan, Alice Yaeger.</t>
  </si>
  <si>
    <t>Chicago : University of Chicago Press, 2000.</t>
  </si>
  <si>
    <t>2000-12-18</t>
  </si>
  <si>
    <t>118115878:eng</t>
  </si>
  <si>
    <t>42428794</t>
  </si>
  <si>
    <t>991003350609702656</t>
  </si>
  <si>
    <t>2269560570002656</t>
  </si>
  <si>
    <t>9780226424149</t>
  </si>
  <si>
    <t>32285004269352</t>
  </si>
  <si>
    <t>893598508</t>
  </si>
  <si>
    <t>D802.F8 H38 1982</t>
  </si>
  <si>
    <t>0                      D  0802000F  8                  H  38          1982</t>
  </si>
  <si>
    <t>Das Reich : the march of the 2nd SS Panzer Division through France / Max Hastings.</t>
  </si>
  <si>
    <t>Hastings, Max.</t>
  </si>
  <si>
    <t>New York : Holt, Rinehart and Winston, 1982, c1981.</t>
  </si>
  <si>
    <t>1996-04-02</t>
  </si>
  <si>
    <t>3901029081:eng</t>
  </si>
  <si>
    <t>7875382</t>
  </si>
  <si>
    <t>991005171439702656</t>
  </si>
  <si>
    <t>2268268340002656</t>
  </si>
  <si>
    <t>9780030570599</t>
  </si>
  <si>
    <t>32285000258003</t>
  </si>
  <si>
    <t>893719910</t>
  </si>
  <si>
    <t>D802.F8 K39 1985</t>
  </si>
  <si>
    <t>0                      D  0802000F  8                  K  39          1985</t>
  </si>
  <si>
    <t>Occupied France : collaboration and resistance, 1940-1944 / H.R. Kedward.</t>
  </si>
  <si>
    <t>Kedward, H. R. (Harry Roderick)</t>
  </si>
  <si>
    <t>Oxford [Oxfordshire] ; New York, NY, USA : B. Blackwell, 1985.</t>
  </si>
  <si>
    <t>Historical Association studies</t>
  </si>
  <si>
    <t>836640434:eng</t>
  </si>
  <si>
    <t>11531823</t>
  </si>
  <si>
    <t>991000549239702656</t>
  </si>
  <si>
    <t>2263985580002656</t>
  </si>
  <si>
    <t>9780631139270</t>
  </si>
  <si>
    <t>32285000258011</t>
  </si>
  <si>
    <t>893345768</t>
  </si>
  <si>
    <t>D802.F8 M34 2000</t>
  </si>
  <si>
    <t>0                      D  0802000F  8                  M  34          2000</t>
  </si>
  <si>
    <t>Strange victory : Hitler's conquest of France / Ernest R. May.</t>
  </si>
  <si>
    <t>New York : Hill and Wang, 2000.</t>
  </si>
  <si>
    <t>2000-11-07</t>
  </si>
  <si>
    <t>2755344:eng</t>
  </si>
  <si>
    <t>42716792</t>
  </si>
  <si>
    <t>991003315069702656</t>
  </si>
  <si>
    <t>2261507760002656</t>
  </si>
  <si>
    <t>9780809089062</t>
  </si>
  <si>
    <t>32285004263785</t>
  </si>
  <si>
    <t>893711257</t>
  </si>
  <si>
    <t>D802.F8 R595 1986</t>
  </si>
  <si>
    <t>0                      D  0802000F  8                  R  595         1986</t>
  </si>
  <si>
    <t>Women in the resistance / Margaret L. Rossiter.</t>
  </si>
  <si>
    <t>Rossiter, Margaret L.</t>
  </si>
  <si>
    <t>New York : Praeger, 1986.</t>
  </si>
  <si>
    <t>4928824:eng</t>
  </si>
  <si>
    <t>12311880</t>
  </si>
  <si>
    <t>991000668509702656</t>
  </si>
  <si>
    <t>2271925310002656</t>
  </si>
  <si>
    <t>9780030053399</t>
  </si>
  <si>
    <t>32285000047265</t>
  </si>
  <si>
    <t>893237509</t>
  </si>
  <si>
    <t>D802.F8 V46 1985</t>
  </si>
  <si>
    <t>0                      D  0802000F  8                  V  46          1985</t>
  </si>
  <si>
    <t>Vichy France and the resistance : culture &amp; ideology / edited by Roderick Kedward and Roger Austin.</t>
  </si>
  <si>
    <t>Totowa, NJ : Barnes &amp; Noble, 1985.</t>
  </si>
  <si>
    <t>1994-12-06</t>
  </si>
  <si>
    <t>1989-10-23</t>
  </si>
  <si>
    <t>836725314:eng</t>
  </si>
  <si>
    <t>11841383</t>
  </si>
  <si>
    <t>991000601139702656</t>
  </si>
  <si>
    <t>2266175580002656</t>
  </si>
  <si>
    <t>9780389205760</t>
  </si>
  <si>
    <t>32285000003854</t>
  </si>
  <si>
    <t>893237444</t>
  </si>
  <si>
    <t>D802.F82 P376</t>
  </si>
  <si>
    <t>0                      D  0802000F  82                 P  376</t>
  </si>
  <si>
    <t>Paris in the Third Reich : a history of the German occupation, 1940-1944 / by David Pryce-Jones ; Michael Rand, picture editor.</t>
  </si>
  <si>
    <t>Pryce-Jones, David, 1936-</t>
  </si>
  <si>
    <t>New York : Holt, Rinehart, and Winston, c1981.</t>
  </si>
  <si>
    <t>348845434:eng</t>
  </si>
  <si>
    <t>6666743</t>
  </si>
  <si>
    <t>991005023429702656</t>
  </si>
  <si>
    <t>2261154330002656</t>
  </si>
  <si>
    <t>9780030456213</t>
  </si>
  <si>
    <t>32285000258045</t>
  </si>
  <si>
    <t>893883222</t>
  </si>
  <si>
    <t>D802.N7 G5413</t>
  </si>
  <si>
    <t>0                      D  0802000N  7                  G  5413</t>
  </si>
  <si>
    <t>Norwegian resistance, 1940-1945 / by Tore Gjelsvik ; translated from the Norwegian by Thomas Kingston Derry.</t>
  </si>
  <si>
    <t>Gjelsvik, Tore.</t>
  </si>
  <si>
    <t>Montreal : McGill-Queen's University Press, c1979.</t>
  </si>
  <si>
    <t>xxc</t>
  </si>
  <si>
    <t>1998-03-30</t>
  </si>
  <si>
    <t>448833:eng</t>
  </si>
  <si>
    <t>5328638</t>
  </si>
  <si>
    <t>991004819969702656</t>
  </si>
  <si>
    <t>2258484850002656</t>
  </si>
  <si>
    <t>32285000258086</t>
  </si>
  <si>
    <t>893254135</t>
  </si>
  <si>
    <t>D802.P6 K67913</t>
  </si>
  <si>
    <t>0                      D  0802000P  6                  K  67913</t>
  </si>
  <si>
    <t>The Polish underground state : a guide to the underground, 1939-1945 / by Stefan Korbonski ; translated from the Polish original by Marta Erdman. --</t>
  </si>
  <si>
    <t>Korboński, Stefan.</t>
  </si>
  <si>
    <t>Boulder : East European quarterly ; New York : distributed by Columbia University Press, 1978.</t>
  </si>
  <si>
    <t>East European monograph series ; no. 39</t>
  </si>
  <si>
    <t>1993-10-27</t>
  </si>
  <si>
    <t>3372517587:eng</t>
  </si>
  <si>
    <t>4010164</t>
  </si>
  <si>
    <t>991004569219702656</t>
  </si>
  <si>
    <t>2270417760002656</t>
  </si>
  <si>
    <t>9780914710325</t>
  </si>
  <si>
    <t>32285000258094</t>
  </si>
  <si>
    <t>893253829</t>
  </si>
  <si>
    <t>D802.P6 W65 1994</t>
  </si>
  <si>
    <t>0                      D  0802000P  6                  W  65          1994</t>
  </si>
  <si>
    <t>Karski : how one man tried to stop the Holocaust / E. Thomas Wood, Stanislaw M. Jankowski ; foreword by Elie Wiesel.</t>
  </si>
  <si>
    <t>Wood, E. Thomas, 1963-</t>
  </si>
  <si>
    <t>New York : J. Wiley &amp; Sons, c1994.</t>
  </si>
  <si>
    <t>40712695:eng</t>
  </si>
  <si>
    <t>30069392</t>
  </si>
  <si>
    <t>991002317039702656</t>
  </si>
  <si>
    <t>2257191560002656</t>
  </si>
  <si>
    <t>9780471018568</t>
  </si>
  <si>
    <t>32285001958858</t>
  </si>
  <si>
    <t>893497972</t>
  </si>
  <si>
    <t>D802.S75 S38 1989</t>
  </si>
  <si>
    <t>0                      D  0802000S  75                 S  38          1989</t>
  </si>
  <si>
    <t>The German Army and Nazi policies in occupied Russia / Theo J. Schulte.</t>
  </si>
  <si>
    <t>Schulte, Theo J.</t>
  </si>
  <si>
    <t>Oxford [England] ; New York : Berg ; New York : Distributed exclusively in the US and Canada by St. Martin's Press, 1989.</t>
  </si>
  <si>
    <t>1990-04-12</t>
  </si>
  <si>
    <t>12580087:eng</t>
  </si>
  <si>
    <t>16681339</t>
  </si>
  <si>
    <t>991005408289702656</t>
  </si>
  <si>
    <t>2271689830002656</t>
  </si>
  <si>
    <t>9780854961603</t>
  </si>
  <si>
    <t>32285000100809</t>
  </si>
  <si>
    <t>893437791</t>
  </si>
  <si>
    <t>D802.Y8 D33 1981</t>
  </si>
  <si>
    <t>0                      D  0802000Y  8                  D  33          1981</t>
  </si>
  <si>
    <t>Scenes from the anti-Nazi war / by Basil Davidson.</t>
  </si>
  <si>
    <t>Davidson, Basil, 1914-2010.</t>
  </si>
  <si>
    <t>New York : Monthly Review Press, [1981] c1980.</t>
  </si>
  <si>
    <t>1993-11-09</t>
  </si>
  <si>
    <t>1990-09-14</t>
  </si>
  <si>
    <t>510860264:eng</t>
  </si>
  <si>
    <t>7999578</t>
  </si>
  <si>
    <t>991005191419702656</t>
  </si>
  <si>
    <t>2258025850002656</t>
  </si>
  <si>
    <t>9780853455875</t>
  </si>
  <si>
    <t>32285000258110</t>
  </si>
  <si>
    <t>893230344</t>
  </si>
  <si>
    <t>D802.Y8 P3</t>
  </si>
  <si>
    <t>0                      D  0802000Y  8                  P  3</t>
  </si>
  <si>
    <t>Patriot or traitor: the case of General Mihailovich : proceedings and report of the Commission of Inquiry of the Committee for a Fair Trial for Draja Mihailovich / Introductory essay by David Martin ; Foreword by Frank J.Lausche. --</t>
  </si>
  <si>
    <t>Standford, Ca. : Hoover Institution Press, 1978.</t>
  </si>
  <si>
    <t>Hoover archival documentaries</t>
  </si>
  <si>
    <t>915475559:eng</t>
  </si>
  <si>
    <t>4593839</t>
  </si>
  <si>
    <t>991004639609702656</t>
  </si>
  <si>
    <t>2271028680002656</t>
  </si>
  <si>
    <t>9780817969110</t>
  </si>
  <si>
    <t>32285000258136</t>
  </si>
  <si>
    <t>893882694</t>
  </si>
  <si>
    <t>D802.Y82 C769813 1992</t>
  </si>
  <si>
    <t>0                      D  0802000Y  82                 C  769813      1992</t>
  </si>
  <si>
    <t>The Yugoslav Auschwitz and the Vatican : the Croatian massacre of the Serbs during World War II / [documents selected and compiled by] Vladimir Dedijer ; translated by Harvey L. Kendall.</t>
  </si>
  <si>
    <t>Vatikan i Jasenovac. English.</t>
  </si>
  <si>
    <t>Buffalo, N.Y. : Prometheus Books ; Freiburg, Germany : Ahriman-Verlag, 1992.</t>
  </si>
  <si>
    <t>1993-08-04</t>
  </si>
  <si>
    <t>1993-06-30</t>
  </si>
  <si>
    <t>55505438:eng</t>
  </si>
  <si>
    <t>24913065</t>
  </si>
  <si>
    <t>991001966719702656</t>
  </si>
  <si>
    <t>2266423860002656</t>
  </si>
  <si>
    <t>9780879757526</t>
  </si>
  <si>
    <t>32285001700425</t>
  </si>
  <si>
    <t>893866633</t>
  </si>
  <si>
    <t>D803 .G58 1976</t>
  </si>
  <si>
    <t>0                      D  0803000G  58          1976</t>
  </si>
  <si>
    <t>The Nuremberg trial and aggressive war / Sheldon Glueck.</t>
  </si>
  <si>
    <t>Glueck, Sheldon, 1896-1980.</t>
  </si>
  <si>
    <t>New York : Kraus Reprint Corporation, 1976.</t>
  </si>
  <si>
    <t>2002-02-26</t>
  </si>
  <si>
    <t>132383749:eng</t>
  </si>
  <si>
    <t>5878343</t>
  </si>
  <si>
    <t>991004891469702656</t>
  </si>
  <si>
    <t>2264349420002656</t>
  </si>
  <si>
    <t>32285000258144</t>
  </si>
  <si>
    <t>893889403</t>
  </si>
  <si>
    <t>D803 .H35 2002</t>
  </si>
  <si>
    <t>0                      D  0803000H  35          2002</t>
  </si>
  <si>
    <t>No more killing fields : preventing deadly conflict / David A. Hamburg.</t>
  </si>
  <si>
    <t>Hamburg, David A., 1925-2019.</t>
  </si>
  <si>
    <t>Lanham, Md. : Rowman &amp; Littlefield, c2002.</t>
  </si>
  <si>
    <t>840324171:eng</t>
  </si>
  <si>
    <t>49261321</t>
  </si>
  <si>
    <t>991004189609702656</t>
  </si>
  <si>
    <t>2255394950002656</t>
  </si>
  <si>
    <t>9780742516748</t>
  </si>
  <si>
    <t>32285004635990</t>
  </si>
  <si>
    <t>893331298</t>
  </si>
  <si>
    <t>D804.3 .B25 1994</t>
  </si>
  <si>
    <t>0                      D  0804300B  25          1994</t>
  </si>
  <si>
    <t>Tell them we remember : the story of the Holocaust / Susan D. Bachrach.</t>
  </si>
  <si>
    <t>Bachrach, Susan D., 1948-</t>
  </si>
  <si>
    <t>Boston : Little, Brown, c1994.</t>
  </si>
  <si>
    <t>1995-03-01</t>
  </si>
  <si>
    <t>31288803:eng</t>
  </si>
  <si>
    <t>29312110</t>
  </si>
  <si>
    <t>991004573549702656</t>
  </si>
  <si>
    <t>2256288660002656</t>
  </si>
  <si>
    <t>9780316074841</t>
  </si>
  <si>
    <t>32285002000981</t>
  </si>
  <si>
    <t>893403335</t>
  </si>
  <si>
    <t>D804.3 .B36 1989</t>
  </si>
  <si>
    <t>0                      D  0804300B  36          1989</t>
  </si>
  <si>
    <t>Legacy of silence : encounters with children of the Third Reich / Dan Bar-On.</t>
  </si>
  <si>
    <t>Bar-On, Dan, 1938-2008.</t>
  </si>
  <si>
    <t>Cambridge, Mass. : Harvard University Press, 1989.</t>
  </si>
  <si>
    <t>1998-03-23</t>
  </si>
  <si>
    <t>1989-11-17</t>
  </si>
  <si>
    <t>143256784:eng</t>
  </si>
  <si>
    <t>19554284</t>
  </si>
  <si>
    <t>991001472499702656</t>
  </si>
  <si>
    <t>2270923610002656</t>
  </si>
  <si>
    <t>9780674521858</t>
  </si>
  <si>
    <t>32285000014596</t>
  </si>
  <si>
    <t>893225872</t>
  </si>
  <si>
    <t>D804.3 .D83 2001</t>
  </si>
  <si>
    <t>0                      D  0804300D  83          2001</t>
  </si>
  <si>
    <t>The Holocaust, never to be forgotten : reflections on the Holy See's document We remember / commentaries by Avery Dulles and Leon Klenicki ; with an address by Edward Idris Cardinal Cassidy.</t>
  </si>
  <si>
    <t>Dulles, Avery, 1918-2008.</t>
  </si>
  <si>
    <t>New York : Paulist Press, c2001.</t>
  </si>
  <si>
    <t>A stimulus book</t>
  </si>
  <si>
    <t>2001-08-23</t>
  </si>
  <si>
    <t>2001-08-22</t>
  </si>
  <si>
    <t>436431930:eng</t>
  </si>
  <si>
    <t>45800126</t>
  </si>
  <si>
    <t>991003578959702656</t>
  </si>
  <si>
    <t>2255681360002656</t>
  </si>
  <si>
    <t>9780809139859</t>
  </si>
  <si>
    <t>32285004380043</t>
  </si>
  <si>
    <t>893686679</t>
  </si>
  <si>
    <t>D804.3 .F567 2000</t>
  </si>
  <si>
    <t>0                      D  0804300F  567         2000</t>
  </si>
  <si>
    <t>The Holocaust industry : reflection on the exploitation of Jewish suffering / Norman G. Finkelstein</t>
  </si>
  <si>
    <t>Finkelstein, Norman G.</t>
  </si>
  <si>
    <t>London ; New York : VERSO, 2000.</t>
  </si>
  <si>
    <t>2005-12-09</t>
  </si>
  <si>
    <t>2000-10-18</t>
  </si>
  <si>
    <t>10568087350:eng</t>
  </si>
  <si>
    <t>44391605</t>
  </si>
  <si>
    <t>991003281129702656</t>
  </si>
  <si>
    <t>2264244320002656</t>
  </si>
  <si>
    <t>9781859847732</t>
  </si>
  <si>
    <t>32285003768651</t>
  </si>
  <si>
    <t>893711224</t>
  </si>
  <si>
    <t>D804.3 .F68 1997</t>
  </si>
  <si>
    <t>0                      D  0804300F  68          1997</t>
  </si>
  <si>
    <t>Holocaust education: approaches that work.</t>
  </si>
  <si>
    <t>Scholars' Conference of Holocaust Education (4th : 1997 : Greensburg, Pa.)</t>
  </si>
  <si>
    <t>Greensburg, PA: Seton Hill College, National Catholic Center for Holocaust Education, 1997.</t>
  </si>
  <si>
    <t>2001-04-02</t>
  </si>
  <si>
    <t>27946653:eng</t>
  </si>
  <si>
    <t>42619904</t>
  </si>
  <si>
    <t>991003046259702656</t>
  </si>
  <si>
    <t>2264295090002656</t>
  </si>
  <si>
    <t>32285003643227</t>
  </si>
  <si>
    <t>893251967</t>
  </si>
  <si>
    <t>D804.3 .K378 1994</t>
  </si>
  <si>
    <t>0                      D  0804300K  378         1994</t>
  </si>
  <si>
    <t>The holocaust in historical context / Steven T. Katz.</t>
  </si>
  <si>
    <t>Katz, Steven T., 1944-</t>
  </si>
  <si>
    <t>New York : Oxford University Press, 1994-</t>
  </si>
  <si>
    <t>1998-03-17</t>
  </si>
  <si>
    <t>1996-07-08</t>
  </si>
  <si>
    <t>20834727:eng</t>
  </si>
  <si>
    <t>24539470</t>
  </si>
  <si>
    <t>991001941519702656</t>
  </si>
  <si>
    <t>2270114360002656</t>
  </si>
  <si>
    <t>9780195072204</t>
  </si>
  <si>
    <t>32285002206901</t>
  </si>
  <si>
    <t>893408500</t>
  </si>
  <si>
    <t>D804.3 .M39 1988</t>
  </si>
  <si>
    <t>0                      D  0804300M  39          1988</t>
  </si>
  <si>
    <t>Why did the heavens not darken? : the "final solution" in history / Arno J. Mayer.</t>
  </si>
  <si>
    <t>New York : Pantheon Books, 1988.</t>
  </si>
  <si>
    <t>1994-02-18</t>
  </si>
  <si>
    <t>24535089:eng</t>
  </si>
  <si>
    <t>17803505</t>
  </si>
  <si>
    <t>991001264579702656</t>
  </si>
  <si>
    <t>2265059600002656</t>
  </si>
  <si>
    <t>9780394571546</t>
  </si>
  <si>
    <t>32285000258201</t>
  </si>
  <si>
    <t>893684205</t>
  </si>
  <si>
    <t>D804.3 .M55 1990</t>
  </si>
  <si>
    <t>0                      D  0804300M  55          1990</t>
  </si>
  <si>
    <t>One, by one, by one : facing the Holocaust / Judith Miller.</t>
  </si>
  <si>
    <t>Miller, Judith, 1948-</t>
  </si>
  <si>
    <t>New York : Simon and Schuster, c1990.</t>
  </si>
  <si>
    <t>1997-01-15</t>
  </si>
  <si>
    <t>1990-06-06</t>
  </si>
  <si>
    <t>22793152:eng</t>
  </si>
  <si>
    <t>20996465</t>
  </si>
  <si>
    <t>991001639359702656</t>
  </si>
  <si>
    <t>2271203530002656</t>
  </si>
  <si>
    <t>9780671644727</t>
  </si>
  <si>
    <t>32285000175181</t>
  </si>
  <si>
    <t>893715569</t>
  </si>
  <si>
    <t>D804.3 .P47 1989</t>
  </si>
  <si>
    <t>0                      D  0804300P  47          1989</t>
  </si>
  <si>
    <t>The Holocaust conspiracy : an international policy of genocide / by William R. Perl.</t>
  </si>
  <si>
    <t>Perl, William R.</t>
  </si>
  <si>
    <t>New York : Shapolsky Publishers, c1989.</t>
  </si>
  <si>
    <t>1994-04-27</t>
  </si>
  <si>
    <t>1991-08-26</t>
  </si>
  <si>
    <t>17374029:eng</t>
  </si>
  <si>
    <t>18557656</t>
  </si>
  <si>
    <t>991001364969702656</t>
  </si>
  <si>
    <t>2264020090002656</t>
  </si>
  <si>
    <t>9780944007242</t>
  </si>
  <si>
    <t>32285000701937</t>
  </si>
  <si>
    <t>893250188</t>
  </si>
  <si>
    <t>D804.3 .V5313 1992</t>
  </si>
  <si>
    <t>0                      D  0804300V  5313        1992</t>
  </si>
  <si>
    <t>Assassins of memory : essays on the denial of the Holocaust / Pierre Vidal-Naquet ; translated and with a foreword by Jeffrey Mehlman.</t>
  </si>
  <si>
    <t>Vidal-Naquet, Pierre, 1930-2006.</t>
  </si>
  <si>
    <t>New York : Columbia University Press, c1992.</t>
  </si>
  <si>
    <t>2002-03-24</t>
  </si>
  <si>
    <t>1993-10-28</t>
  </si>
  <si>
    <t>1153957311:eng</t>
  </si>
  <si>
    <t>26402928</t>
  </si>
  <si>
    <t>991002065579702656</t>
  </si>
  <si>
    <t>2266678670002656</t>
  </si>
  <si>
    <t>9780231074582</t>
  </si>
  <si>
    <t>32285001788941</t>
  </si>
  <si>
    <t>893603162</t>
  </si>
  <si>
    <t>D804.3 .W46 1993</t>
  </si>
  <si>
    <t>0                      D  0804300W  46          1993</t>
  </si>
  <si>
    <t>Why Germany? : national socialist anti-semitism and the European context / edited by John Milfull.</t>
  </si>
  <si>
    <t>Providence : Berg, 1993.</t>
  </si>
  <si>
    <t>2001-03-08</t>
  </si>
  <si>
    <t>347544520:eng</t>
  </si>
  <si>
    <t>25009271</t>
  </si>
  <si>
    <t>991001971319702656</t>
  </si>
  <si>
    <t>2269433810002656</t>
  </si>
  <si>
    <t>9780854963157</t>
  </si>
  <si>
    <t>32285002155702</t>
  </si>
  <si>
    <t>893433347</t>
  </si>
  <si>
    <t>D804.33 .H64 2000</t>
  </si>
  <si>
    <t>0                      D  0804330H  64          2000</t>
  </si>
  <si>
    <t>Children and the holocaust : proceedings [of the] Fifth Holocaust Education Conference, November 5-6, 2000 / Mary Noel Kernan, editor.</t>
  </si>
  <si>
    <t>Holocaust Education Conference (5th : 2000 : Holocaust Education Center)</t>
  </si>
  <si>
    <t>Greensburg, Penn. : National Catholic Center for Holocaust Education : Seton Hill College ; 2000.</t>
  </si>
  <si>
    <t>2002-04-23</t>
  </si>
  <si>
    <t>2002-04-15</t>
  </si>
  <si>
    <t>39488359:eng</t>
  </si>
  <si>
    <t>49599827</t>
  </si>
  <si>
    <t>991003788839702656</t>
  </si>
  <si>
    <t>2269325680002656</t>
  </si>
  <si>
    <t>32285004478987</t>
  </si>
  <si>
    <t>893258867</t>
  </si>
  <si>
    <t>D804.33 .H64 2003</t>
  </si>
  <si>
    <t>0                      D  0804330H  64          2003</t>
  </si>
  <si>
    <t>Proceedings of Teaching the Holocaust in Catholic Schools : Sixth Holocaust Education Conference, November 8-10, 2003 / edited and with an introduction by Kathleen McSharry.</t>
  </si>
  <si>
    <t>Holocaust Education Conference (6th : 2003 : Seton Hill University)</t>
  </si>
  <si>
    <t>Greensburg, PA : National Catholic Center for Holocaust Education, Seton Hill University, c2005.</t>
  </si>
  <si>
    <t>2005-07-07</t>
  </si>
  <si>
    <t>1008622458:eng</t>
  </si>
  <si>
    <t>60746858</t>
  </si>
  <si>
    <t>991004599359702656</t>
  </si>
  <si>
    <t>2270301490002656</t>
  </si>
  <si>
    <t>32285005095566</t>
  </si>
  <si>
    <t>893624888</t>
  </si>
  <si>
    <t>D804.348 .P38 2001</t>
  </si>
  <si>
    <t>0                      D  0804348P  38          2001</t>
  </si>
  <si>
    <t>Long shadows : truth, lies, and history / Erna Paris.</t>
  </si>
  <si>
    <t>Paris, Erna, 1938-</t>
  </si>
  <si>
    <t>New York : Bloomsbury, c2001.</t>
  </si>
  <si>
    <t>6451525:eng</t>
  </si>
  <si>
    <t>45750338</t>
  </si>
  <si>
    <t>991003966789702656</t>
  </si>
  <si>
    <t>2260064160002656</t>
  </si>
  <si>
    <t>9781582341569</t>
  </si>
  <si>
    <t>32285004695796</t>
  </si>
  <si>
    <t>893605471</t>
  </si>
  <si>
    <t>D804.44 .W45 2004</t>
  </si>
  <si>
    <t>0                      D  0804440W  45          2004</t>
  </si>
  <si>
    <t>Justice matters : legacies of the Holocaust and World War II / Mona Sue Weissmark.</t>
  </si>
  <si>
    <t>Weissmark, Mona Sue.</t>
  </si>
  <si>
    <t>New York : Oxford University Press, 2004.</t>
  </si>
  <si>
    <t>793952330:eng</t>
  </si>
  <si>
    <t>51984900</t>
  </si>
  <si>
    <t>991004248649702656</t>
  </si>
  <si>
    <t>2267705250002656</t>
  </si>
  <si>
    <t>9780195157574</t>
  </si>
  <si>
    <t>32285004897517</t>
  </si>
  <si>
    <t>893241201</t>
  </si>
  <si>
    <t>D804.G4 B765 1998</t>
  </si>
  <si>
    <t>0                      D  0804000G  4                  B  765         1998</t>
  </si>
  <si>
    <t>Official secrets : what the Nazis planned, what the British and Americans knew / Richard Breitman.</t>
  </si>
  <si>
    <t>Breitman, Richard, 1947-</t>
  </si>
  <si>
    <t>New York : Hill and Wang, 1998.</t>
  </si>
  <si>
    <t>1999-01-18</t>
  </si>
  <si>
    <t>836976808:eng</t>
  </si>
  <si>
    <t>39130693</t>
  </si>
  <si>
    <t>991002940699702656</t>
  </si>
  <si>
    <t>2265179370002656</t>
  </si>
  <si>
    <t>9780809038190</t>
  </si>
  <si>
    <t>32285003512752</t>
  </si>
  <si>
    <t>893610494</t>
  </si>
  <si>
    <t>D804.G4 F53 1998</t>
  </si>
  <si>
    <t>0                      D  0804000G  4                  F  53          1998</t>
  </si>
  <si>
    <t>A nation on trial : the Goldhagen thesis and historical truth / Norman G. Finkelstein and Ruth Bettina Birn.</t>
  </si>
  <si>
    <t>New York : Metropolitan Books, 1998.</t>
  </si>
  <si>
    <t>2000-10-16</t>
  </si>
  <si>
    <t>44705177:eng</t>
  </si>
  <si>
    <t>37783049</t>
  </si>
  <si>
    <t>991002866419702656</t>
  </si>
  <si>
    <t>2266234800002656</t>
  </si>
  <si>
    <t>9780805058710</t>
  </si>
  <si>
    <t>32285003463006</t>
  </si>
  <si>
    <t>893899341</t>
  </si>
  <si>
    <t>D804.G4 G45 1981</t>
  </si>
  <si>
    <t>0                      D  0804000G  4                  G  45          1981</t>
  </si>
  <si>
    <t>Youth in chains / by Thomas Geve.</t>
  </si>
  <si>
    <t>Geve, Thomas, 1929-</t>
  </si>
  <si>
    <t>Jerusalem : R. Mass, 1981.</t>
  </si>
  <si>
    <t>2nd. pocket book ed.</t>
  </si>
  <si>
    <t xml:space="preserve">is </t>
  </si>
  <si>
    <t>5202479:eng</t>
  </si>
  <si>
    <t>8276012</t>
  </si>
  <si>
    <t>991005224539702656</t>
  </si>
  <si>
    <t>2262883760002656</t>
  </si>
  <si>
    <t>32285000258169</t>
  </si>
  <si>
    <t>893607034</t>
  </si>
  <si>
    <t>D804.G42 C3 1948</t>
  </si>
  <si>
    <t>0                      D  0804000G  42                 C  3           1948</t>
  </si>
  <si>
    <t>Nuremberg ; the facts, the law and the consequences, by PeterCalvocoressi.</t>
  </si>
  <si>
    <t>Calvocoressi, Peter.</t>
  </si>
  <si>
    <t>New York, Macmillan, 1948.</t>
  </si>
  <si>
    <t>1998-03-01</t>
  </si>
  <si>
    <t>63770878:eng</t>
  </si>
  <si>
    <t>40414270</t>
  </si>
  <si>
    <t>991003708419702656</t>
  </si>
  <si>
    <t>2258284880002656</t>
  </si>
  <si>
    <t>32285000087527</t>
  </si>
  <si>
    <t>893435331</t>
  </si>
  <si>
    <t>D804.G42 K6</t>
  </si>
  <si>
    <t>0                      D  0804000G  42                 K  6</t>
  </si>
  <si>
    <t>The Nuremberg trials / Translated from the German by Dr. iur. Elizabeth D. Schmitt ; with a special pref. to the American ed. by Max Rheinstein.</t>
  </si>
  <si>
    <t>Knieriem, August von, 1887-</t>
  </si>
  <si>
    <t>Chicago : H. Regnery Co., 1959.</t>
  </si>
  <si>
    <t>1998-04-06</t>
  </si>
  <si>
    <t>3901264781:eng</t>
  </si>
  <si>
    <t>394320</t>
  </si>
  <si>
    <t>991002668439702656</t>
  </si>
  <si>
    <t>2260096020002656</t>
  </si>
  <si>
    <t>32285000087543</t>
  </si>
  <si>
    <t>893329385</t>
  </si>
  <si>
    <t>D805.5.B47 S54 2005</t>
  </si>
  <si>
    <t>0                      D  0805500B  47                 S  54          2005</t>
  </si>
  <si>
    <t>After daybreak : the liberation of Bergen-Belsen, 1945 / Ben Shephard.</t>
  </si>
  <si>
    <t>Shephard, Ben, 1948-</t>
  </si>
  <si>
    <t>New York : Schocken, c2005.</t>
  </si>
  <si>
    <t>2005-12-05</t>
  </si>
  <si>
    <t>1601981153:eng</t>
  </si>
  <si>
    <t>58788893</t>
  </si>
  <si>
    <t>991004693819702656</t>
  </si>
  <si>
    <t>2267477890002656</t>
  </si>
  <si>
    <t>9780805242324</t>
  </si>
  <si>
    <t>32285005150759</t>
  </si>
  <si>
    <t>893801234</t>
  </si>
  <si>
    <t>D805.G3 A343 1985</t>
  </si>
  <si>
    <t>0                      D  0805000G  3                  A  343         1985</t>
  </si>
  <si>
    <t>Inside the vicious heart : Americans and the liberation of Nazi concentration camps / Robert H. Abzug.</t>
  </si>
  <si>
    <t>Abzug, Robert H.</t>
  </si>
  <si>
    <t>836696569:eng</t>
  </si>
  <si>
    <t>11573783</t>
  </si>
  <si>
    <t>991000558359702656</t>
  </si>
  <si>
    <t>2265627500002656</t>
  </si>
  <si>
    <t>9780195035971</t>
  </si>
  <si>
    <t>32285000165711</t>
  </si>
  <si>
    <t>893249463</t>
  </si>
  <si>
    <t>D805.G3 M554</t>
  </si>
  <si>
    <t>0                      D  0805000G  3                  M  554</t>
  </si>
  <si>
    <t>Dachau Museum and Memorial Grounds : a photographic essay / by John J. Mitchell.</t>
  </si>
  <si>
    <t>Mitchell, John J.</t>
  </si>
  <si>
    <t>[Marceline, Mo. : Walsworth, 1969?]</t>
  </si>
  <si>
    <t>1999-03-04</t>
  </si>
  <si>
    <t>1990-03-05</t>
  </si>
  <si>
    <t>1136246:eng</t>
  </si>
  <si>
    <t>13461</t>
  </si>
  <si>
    <t>991000006289702656</t>
  </si>
  <si>
    <t>2266333240002656</t>
  </si>
  <si>
    <t>32285000063668</t>
  </si>
  <si>
    <t>893333118</t>
  </si>
  <si>
    <t>D805.G3 R55 1988</t>
  </si>
  <si>
    <t>0                      D  0805000G  3                  R  55          1988</t>
  </si>
  <si>
    <t>Prisoners of the Reich : Germany's captives, 1939-1945 / David Rolf.</t>
  </si>
  <si>
    <t>Rolf, David.</t>
  </si>
  <si>
    <t>London : L. Cooper, 1988.</t>
  </si>
  <si>
    <t>1991-02-28</t>
  </si>
  <si>
    <t>21431348:eng</t>
  </si>
  <si>
    <t>19269559</t>
  </si>
  <si>
    <t>991001397309702656</t>
  </si>
  <si>
    <t>2260091880002656</t>
  </si>
  <si>
    <t>9780850526813</t>
  </si>
  <si>
    <t>32285000492222</t>
  </si>
  <si>
    <t>893797552</t>
  </si>
  <si>
    <t>D805.G7 F38 1977b</t>
  </si>
  <si>
    <t>0                      D  0805000G  7                  F  38          1977b</t>
  </si>
  <si>
    <t>Group captives : the re-education of German prisoners of war in Britain, 1945-1948 / by Henry Faulk.</t>
  </si>
  <si>
    <t>Faulk, Henry.</t>
  </si>
  <si>
    <t>London : Chatto &amp; Windus, 1977.</t>
  </si>
  <si>
    <t>1998-04-19</t>
  </si>
  <si>
    <t>6517792:eng</t>
  </si>
  <si>
    <t>3131130</t>
  </si>
  <si>
    <t>991004354439702656</t>
  </si>
  <si>
    <t>2257770090002656</t>
  </si>
  <si>
    <t>9780701121969</t>
  </si>
  <si>
    <t>32285000258250</t>
  </si>
  <si>
    <t>893525998</t>
  </si>
  <si>
    <t>D805.P7 P28713</t>
  </si>
  <si>
    <t>0                      D  0805000P  7                  P  28713</t>
  </si>
  <si>
    <t>Values and violence in Auschwitz : a sociological analysis / Anna Pawełczyńska ; translated and with an introd. by Catherine S. Leach.</t>
  </si>
  <si>
    <t>Pawełczyńska, Anna.</t>
  </si>
  <si>
    <t>Berkeley : University of California Press, c1979.</t>
  </si>
  <si>
    <t>2002-03-06</t>
  </si>
  <si>
    <t>3943292863:eng</t>
  </si>
  <si>
    <t>4764691</t>
  </si>
  <si>
    <t>991004710969702656</t>
  </si>
  <si>
    <t>2258360710002656</t>
  </si>
  <si>
    <t>9780520032101</t>
  </si>
  <si>
    <t>32285000047349</t>
  </si>
  <si>
    <t>893344164</t>
  </si>
  <si>
    <t>D805.S78 T36 2000</t>
  </si>
  <si>
    <t>0                      D  0805000S  78                 T  36          2000</t>
  </si>
  <si>
    <t>Refuge from the Reich : American airmen and Switzerland during World War II / Stephen Tanner.</t>
  </si>
  <si>
    <t>Tanner, Stephen, 1954-</t>
  </si>
  <si>
    <t>Rockville Centre, NY : Sarpedon, c2000.</t>
  </si>
  <si>
    <t>2004-09-30</t>
  </si>
  <si>
    <t>364346273:eng</t>
  </si>
  <si>
    <t>44594100</t>
  </si>
  <si>
    <t>991004387379702656</t>
  </si>
  <si>
    <t>2267266650002656</t>
  </si>
  <si>
    <t>9781885119704</t>
  </si>
  <si>
    <t>32285005000269</t>
  </si>
  <si>
    <t>893253631</t>
  </si>
  <si>
    <t>D810.A7 I43 1990</t>
  </si>
  <si>
    <t>0                      D  0810000A  7                  I  43          1990</t>
  </si>
  <si>
    <t>Images of war : the artist's vision of World War II / selected and edited by Ken McCormick and Hamilton Darby Perry ; foreword by John Hersey.</t>
  </si>
  <si>
    <t>New York : Orion Books, c1990.</t>
  </si>
  <si>
    <t>2000-11-13</t>
  </si>
  <si>
    <t>1991-06-13</t>
  </si>
  <si>
    <t>901017920:eng</t>
  </si>
  <si>
    <t>20894652</t>
  </si>
  <si>
    <t>991001629799702656</t>
  </si>
  <si>
    <t>2266241050002656</t>
  </si>
  <si>
    <t>9780517570654</t>
  </si>
  <si>
    <t>32285000656081</t>
  </si>
  <si>
    <t>893621502</t>
  </si>
  <si>
    <t>D810.C4 N53 2005</t>
  </si>
  <si>
    <t>0                      D  0810000C  4                  N  53          2005</t>
  </si>
  <si>
    <t>Cruel world : the children of Europe in the Nazi web / Lynn H. Nicholas.</t>
  </si>
  <si>
    <t>Nicholas, Lynn H.</t>
  </si>
  <si>
    <t>New York : A.A. Knopf, 2005.</t>
  </si>
  <si>
    <t>793948884:eng</t>
  </si>
  <si>
    <t>56324791</t>
  </si>
  <si>
    <t>991004582899702656</t>
  </si>
  <si>
    <t>2271129050002656</t>
  </si>
  <si>
    <t>9780679454649</t>
  </si>
  <si>
    <t>32285005094767</t>
  </si>
  <si>
    <t>893337888</t>
  </si>
  <si>
    <t>D810.C8 L4813 2001</t>
  </si>
  <si>
    <t>0                      D  0810000C  8                  L  4813        2001</t>
  </si>
  <si>
    <t>His majesty's enemies : Great Britain's war against Holocaust victims and survivors / Itamar Levin ; translated by Natasha Dornberg and Judith Yalon-Fortus ; foreword by Avraham Hirschson.</t>
  </si>
  <si>
    <t>Levin, Itamar.</t>
  </si>
  <si>
    <t>Westport, Conn. : Praeger, 2001.</t>
  </si>
  <si>
    <t>2004-02-25</t>
  </si>
  <si>
    <t>2002-10-17</t>
  </si>
  <si>
    <t>2583476:eng</t>
  </si>
  <si>
    <t>44517973</t>
  </si>
  <si>
    <t>991003864719702656</t>
  </si>
  <si>
    <t>2260210340002656</t>
  </si>
  <si>
    <t>9780275968168</t>
  </si>
  <si>
    <t>32285004655857</t>
  </si>
  <si>
    <t>893781536</t>
  </si>
  <si>
    <t>D810.C82 E45 1991</t>
  </si>
  <si>
    <t>0                      D  0810000C  82                 E  45          1991</t>
  </si>
  <si>
    <t>Conscientious objectors and the Second World War : moral and religious arguments in support of pacifism / Cynthia Eller.</t>
  </si>
  <si>
    <t>Eller, Cynthia.</t>
  </si>
  <si>
    <t>1992-11-02</t>
  </si>
  <si>
    <t>367887067:eng</t>
  </si>
  <si>
    <t>22625368</t>
  </si>
  <si>
    <t>991001798319702656</t>
  </si>
  <si>
    <t>2272760180002656</t>
  </si>
  <si>
    <t>9780275938055</t>
  </si>
  <si>
    <t>32285001360394</t>
  </si>
  <si>
    <t>893334611</t>
  </si>
  <si>
    <t>D810.J4 B3158 1981</t>
  </si>
  <si>
    <t>0                      D  0810000J  4                  B  3158        1981</t>
  </si>
  <si>
    <t>American Jewry and the Holocaust : the American Jewish Joint Distribution Committee, 1939-1945 / Yehuda Bauer.</t>
  </si>
  <si>
    <t>Bauer, Yehuda.</t>
  </si>
  <si>
    <t>Jerusalem : The Institute of Contemporary Jewry, Hebrew University ; Detroit : Wayne State University Press, c1981, 1982 printing.</t>
  </si>
  <si>
    <t>891974047:eng</t>
  </si>
  <si>
    <t>6916401</t>
  </si>
  <si>
    <t>991005059969702656</t>
  </si>
  <si>
    <t>2266268710002656</t>
  </si>
  <si>
    <t>9780814316726</t>
  </si>
  <si>
    <t>32285000047372</t>
  </si>
  <si>
    <t>893625393</t>
  </si>
  <si>
    <t>D810.J4 B315824 1978</t>
  </si>
  <si>
    <t>0                      D  0810000J  4                  B  315824      1978</t>
  </si>
  <si>
    <t>The Holocaust in historical perspective / Yehuda Bauer.</t>
  </si>
  <si>
    <t>Seattle : University of Washington Press, c1978, 1980 printing.</t>
  </si>
  <si>
    <t>wau</t>
  </si>
  <si>
    <t>Samuel and Althea Stroum lectures in Jewish studies</t>
  </si>
  <si>
    <t>2001-03-29</t>
  </si>
  <si>
    <t>1990-09-18</t>
  </si>
  <si>
    <t>571803:eng</t>
  </si>
  <si>
    <t>4004989</t>
  </si>
  <si>
    <t>991004567999702656</t>
  </si>
  <si>
    <t>2264999680002656</t>
  </si>
  <si>
    <t>9780295956060</t>
  </si>
  <si>
    <t>32285000258441</t>
  </si>
  <si>
    <t>893888882</t>
  </si>
  <si>
    <t>D810.J4 B77</t>
  </si>
  <si>
    <t>0                      D  0810000J  4                  B  77</t>
  </si>
  <si>
    <t>The final solution and the German Foreign Office : a study of Referat D III of Abteilung Deutschland, 1940-43 / by Christopher R. Browning.</t>
  </si>
  <si>
    <t>Browning, Christopher R.</t>
  </si>
  <si>
    <t>1994-09-19</t>
  </si>
  <si>
    <t>9381834365:eng</t>
  </si>
  <si>
    <t>3892715</t>
  </si>
  <si>
    <t>991004540049702656</t>
  </si>
  <si>
    <t>2272322380002656</t>
  </si>
  <si>
    <t>9780841904033</t>
  </si>
  <si>
    <t>32285000079748</t>
  </si>
  <si>
    <t>893712739</t>
  </si>
  <si>
    <t>D810.J4 B87 1977</t>
  </si>
  <si>
    <t>0                      D  0810000J  4                  B  87          1977</t>
  </si>
  <si>
    <t>The hoax of the twentieth century / by A. R. Butz.</t>
  </si>
  <si>
    <t>Butz, A. R. (Arthur R.)</t>
  </si>
  <si>
    <t>Los Angeles, Calif. : Noontide Press, 1977, c1976.</t>
  </si>
  <si>
    <t>2000-04-06</t>
  </si>
  <si>
    <t>556647:eng</t>
  </si>
  <si>
    <t>3139963</t>
  </si>
  <si>
    <t>991004356119702656</t>
  </si>
  <si>
    <t>2271386570002656</t>
  </si>
  <si>
    <t>9780911038002</t>
  </si>
  <si>
    <t>32285000079755</t>
  </si>
  <si>
    <t>893894894</t>
  </si>
  <si>
    <t>D810.J4 D33 1986</t>
  </si>
  <si>
    <t>0                      D  0810000J  4                  D  33          1986</t>
  </si>
  <si>
    <t>The war against the Jews, 1933-1945 / Lucy S. Dawidowicz.</t>
  </si>
  <si>
    <t>Dawidowicz, Lucy S.</t>
  </si>
  <si>
    <t>Toronto ; New York : Bantam Books, 1986.</t>
  </si>
  <si>
    <t>10th anniversary ed.</t>
  </si>
  <si>
    <t>1995-08-21</t>
  </si>
  <si>
    <t>344325:eng</t>
  </si>
  <si>
    <t>12975111</t>
  </si>
  <si>
    <t>991000763029702656</t>
  </si>
  <si>
    <t>2261948920002656</t>
  </si>
  <si>
    <t>9780553343021</t>
  </si>
  <si>
    <t>32285002077807</t>
  </si>
  <si>
    <t>893808807</t>
  </si>
  <si>
    <t>D810.J4 E217 1988</t>
  </si>
  <si>
    <t>0                      D  0810000J  4                  E  217         1988</t>
  </si>
  <si>
    <t>Echoes from the Holocaust : philosophical reflections on a dark time / edited by Alan Rosenberg and Gerald E. Myers.</t>
  </si>
  <si>
    <t>Philadelphia : Temple University Press, 1988.</t>
  </si>
  <si>
    <t>2004-09-07</t>
  </si>
  <si>
    <t>1990-04-07</t>
  </si>
  <si>
    <t>801167952:eng</t>
  </si>
  <si>
    <t>16804760</t>
  </si>
  <si>
    <t>991001149789702656</t>
  </si>
  <si>
    <t>2272207320002656</t>
  </si>
  <si>
    <t>9780877225393</t>
  </si>
  <si>
    <t>32285000094622</t>
  </si>
  <si>
    <t>893426357</t>
  </si>
  <si>
    <t>D810.J4 F36 1981</t>
  </si>
  <si>
    <t>0                      D  0810000J  4                  F  36          1981</t>
  </si>
  <si>
    <t>Hitler's death camps : the sanity of madness / Konnilyn G. Feig.</t>
  </si>
  <si>
    <t>Feig, Konnilyn G.</t>
  </si>
  <si>
    <t>New York : Holmes &amp; Meier Publishers, 1981, c1979.</t>
  </si>
  <si>
    <t>2002-04-04</t>
  </si>
  <si>
    <t>2010-11-02</t>
  </si>
  <si>
    <t>196545907:eng</t>
  </si>
  <si>
    <t>7277593</t>
  </si>
  <si>
    <t>991001764649702656</t>
  </si>
  <si>
    <t>2263865140002656</t>
  </si>
  <si>
    <t>9780841906754</t>
  </si>
  <si>
    <t>32285000007988</t>
  </si>
  <si>
    <t>893715701</t>
  </si>
  <si>
    <t>D810.J4 F376</t>
  </si>
  <si>
    <t>0                      D  0810000J  4                  F  376</t>
  </si>
  <si>
    <t>Accounting for genocide : national responses and Jewish victimization during the Holocaust / Helen Fein.</t>
  </si>
  <si>
    <t>Fein, Helen, 1934-</t>
  </si>
  <si>
    <t>1998-04-02</t>
  </si>
  <si>
    <t>1090011799:eng</t>
  </si>
  <si>
    <t>4492539</t>
  </si>
  <si>
    <t>991004647239702656</t>
  </si>
  <si>
    <t>2263603300002656</t>
  </si>
  <si>
    <t>9780029102206</t>
  </si>
  <si>
    <t>32285000047380</t>
  </si>
  <si>
    <t>893606286</t>
  </si>
  <si>
    <t>D810.J4 F42</t>
  </si>
  <si>
    <t>0                      D  0810000J  4                  F  42</t>
  </si>
  <si>
    <t>Less than slaves : Jewish forced labor and the quest for compensation / Benjamin B. Ferencz.</t>
  </si>
  <si>
    <t>Ferencz, Benjamin B., 1920-</t>
  </si>
  <si>
    <t>Cambridge : Harvard University Press, 1979.</t>
  </si>
  <si>
    <t>521613:eng</t>
  </si>
  <si>
    <t>4805238</t>
  </si>
  <si>
    <t>991004724859702656</t>
  </si>
  <si>
    <t>2270843140002656</t>
  </si>
  <si>
    <t>9780674525252</t>
  </si>
  <si>
    <t>32285000047398</t>
  </si>
  <si>
    <t>893507159</t>
  </si>
  <si>
    <t>D810.J4 F737 1976</t>
  </si>
  <si>
    <t>0                      D  0810000J  4                  F  737         1976</t>
  </si>
  <si>
    <t>Out of the whirlwind : a reader of holocaust literature / [compiled by] Albert H. Friedlander ; illustrated by Jacob Landau.</t>
  </si>
  <si>
    <t>Friedlander, Albert H., compiler.</t>
  </si>
  <si>
    <t>New York : Schocken Books, 1976, c1968.</t>
  </si>
  <si>
    <t>867380615:eng</t>
  </si>
  <si>
    <t>2200930</t>
  </si>
  <si>
    <t>991004045619702656</t>
  </si>
  <si>
    <t>2255915070002656</t>
  </si>
  <si>
    <t>9780805205176</t>
  </si>
  <si>
    <t>32285000047406</t>
  </si>
  <si>
    <t>893810327</t>
  </si>
  <si>
    <t>D810.J4 G46 1982</t>
  </si>
  <si>
    <t>0                      D  0810000J  4                  G  46          1982</t>
  </si>
  <si>
    <t>Generations of the Holocaust / edited by Martin S. Bergmann and Milton E. Jucovy.</t>
  </si>
  <si>
    <t>New York : Basic Books, c1982.</t>
  </si>
  <si>
    <t>1996-11-21</t>
  </si>
  <si>
    <t>349925312:eng</t>
  </si>
  <si>
    <t>8132917</t>
  </si>
  <si>
    <t>991005207999702656</t>
  </si>
  <si>
    <t>2267918010002656</t>
  </si>
  <si>
    <t>9780465026661</t>
  </si>
  <si>
    <t>32285000047430</t>
  </si>
  <si>
    <t>893777031</t>
  </si>
  <si>
    <t>D810.J4 G523 1986</t>
  </si>
  <si>
    <t>0                      D  0810000J  4                  G  523         1986</t>
  </si>
  <si>
    <t>The holocaust : the Jewish tragedy / Martin Gilbert.</t>
  </si>
  <si>
    <t>1998-02-15</t>
  </si>
  <si>
    <t>836662186:eng</t>
  </si>
  <si>
    <t>15223149</t>
  </si>
  <si>
    <t>991000697519702656</t>
  </si>
  <si>
    <t>2258404750002656</t>
  </si>
  <si>
    <t>9780002163057</t>
  </si>
  <si>
    <t>32285000079714</t>
  </si>
  <si>
    <t>893708626</t>
  </si>
  <si>
    <t>D810.J4 H65 1985</t>
  </si>
  <si>
    <t>0                      D  0810000J  4                  H  65          1985</t>
  </si>
  <si>
    <t>The Holocaust : an annotated bibliography and resource guide / edited by David M. Szonyi.</t>
  </si>
  <si>
    <t>[Hoboken, NJ] : Ktav Pub. House for the National Jewish Resource Center, New York, c1985.</t>
  </si>
  <si>
    <t>2002-03-14</t>
  </si>
  <si>
    <t>864129056:eng</t>
  </si>
  <si>
    <t>11497131</t>
  </si>
  <si>
    <t>991000542739702656</t>
  </si>
  <si>
    <t>2263004150002656</t>
  </si>
  <si>
    <t>9780881250589</t>
  </si>
  <si>
    <t>32285000047448</t>
  </si>
  <si>
    <t>893521774</t>
  </si>
  <si>
    <t>D810.J4 L455</t>
  </si>
  <si>
    <t>0                      D  0810000J  4                  L  455</t>
  </si>
  <si>
    <t>The holocaust : the destruction of European Jewry, 1933-1945.</t>
  </si>
  <si>
    <t>Levin, Nora.</t>
  </si>
  <si>
    <t>New York, T. Y. Crowell Co. [1968]</t>
  </si>
  <si>
    <t>1997-02-28</t>
  </si>
  <si>
    <t>1997-02-20</t>
  </si>
  <si>
    <t>460351:eng</t>
  </si>
  <si>
    <t>364784</t>
  </si>
  <si>
    <t>991002507089702656</t>
  </si>
  <si>
    <t>2265538360002656</t>
  </si>
  <si>
    <t>32285002438520</t>
  </si>
  <si>
    <t>893873617</t>
  </si>
  <si>
    <t>D810.J4 O38 1983</t>
  </si>
  <si>
    <t>0                      D  0810000J  4                  O  38          1983</t>
  </si>
  <si>
    <t>The Obligation to remember : the American Gathering of Jewish Holocaust Survivors, Washington D.C., April 11-14, 1983 : an anthology / by the staff of the Washington Post.</t>
  </si>
  <si>
    <t>[Washington, D.C.] : Washington Post, c1983.</t>
  </si>
  <si>
    <t>2001-02-15</t>
  </si>
  <si>
    <t>1996-10-01</t>
  </si>
  <si>
    <t>796674862:eng</t>
  </si>
  <si>
    <t>10430992</t>
  </si>
  <si>
    <t>991000371539702656</t>
  </si>
  <si>
    <t>2264486660002656</t>
  </si>
  <si>
    <t>32285002321734</t>
  </si>
  <si>
    <t>893515210</t>
  </si>
  <si>
    <t>D810.J4 P614813</t>
  </si>
  <si>
    <t>0                      D  0810000J  4                  P  614813</t>
  </si>
  <si>
    <t>Harvest of hate : the Nazi program for the destruction of the Jews of Europe / foreword by Reinhold Niebuhr.</t>
  </si>
  <si>
    <t>Poliakov, Léon, 1910-1997.</t>
  </si>
  <si>
    <t>Westport, Conn. : Greenwood Press, [1971, c1954]</t>
  </si>
  <si>
    <t>2002-11-15</t>
  </si>
  <si>
    <t>4144097366:eng</t>
  </si>
  <si>
    <t>148566</t>
  </si>
  <si>
    <t>991000835449702656</t>
  </si>
  <si>
    <t>2260099280002656</t>
  </si>
  <si>
    <t>32285001471050</t>
  </si>
  <si>
    <t>893407569</t>
  </si>
  <si>
    <t>D810.J4 R35 1978</t>
  </si>
  <si>
    <t>0                      D  0810000J  4                  R  35          1978</t>
  </si>
  <si>
    <t>The Assisi underground : the priests who rescued Jews / Alexander Ramati, as told by Rufino Niccacci. --</t>
  </si>
  <si>
    <t>Ramati, Alexander, 1921-2006.</t>
  </si>
  <si>
    <t>New York : Stein and Day, 1978.</t>
  </si>
  <si>
    <t>1997-02-10</t>
  </si>
  <si>
    <t>1990-02-07</t>
  </si>
  <si>
    <t>3943332528:eng</t>
  </si>
  <si>
    <t>3447420</t>
  </si>
  <si>
    <t>991004438349702656</t>
  </si>
  <si>
    <t>2268772920002656</t>
  </si>
  <si>
    <t>9780812823158</t>
  </si>
  <si>
    <t>32285000033448</t>
  </si>
  <si>
    <t>893700246</t>
  </si>
  <si>
    <t>D810.J4 S3413 2004</t>
  </si>
  <si>
    <t>0                      D  0810000J  4                  S  3413        2004</t>
  </si>
  <si>
    <t>The yellow star : the persecution of the Jews in Europe, 1933-1945 / Gerhard Schoenberner</t>
  </si>
  <si>
    <t>Schoenberner, Gerhard.</t>
  </si>
  <si>
    <t>New York : Fordam University Press, 2004.</t>
  </si>
  <si>
    <t>3855390492:eng</t>
  </si>
  <si>
    <t>55729923</t>
  </si>
  <si>
    <t>991004481569702656</t>
  </si>
  <si>
    <t>2271913880002656</t>
  </si>
  <si>
    <t>9780823223909</t>
  </si>
  <si>
    <t>32285005031447</t>
  </si>
  <si>
    <t>893706475</t>
  </si>
  <si>
    <t>D810.J4 S7613</t>
  </si>
  <si>
    <t>0                      D  0810000J  4                  S  7613</t>
  </si>
  <si>
    <t>Not as a lamb : the Jews against Hitler.</t>
  </si>
  <si>
    <t>Steinberg, Lucien.</t>
  </si>
  <si>
    <t>[Farnborough, Eng.] : Saxon House, [1974]</t>
  </si>
  <si>
    <t>1994-11-09</t>
  </si>
  <si>
    <t>1991-10-25</t>
  </si>
  <si>
    <t>1906656:eng</t>
  </si>
  <si>
    <t>945791</t>
  </si>
  <si>
    <t>991003405889702656</t>
  </si>
  <si>
    <t>2268014540002656</t>
  </si>
  <si>
    <t>32285000800069</t>
  </si>
  <si>
    <t>893499263</t>
  </si>
  <si>
    <t>D810.J4 T42 1984</t>
  </si>
  <si>
    <t>0                      D  0810000J  4                  T  42          1984</t>
  </si>
  <si>
    <t>Dry tears : the story of a lost childhood / Nechama Tec.</t>
  </si>
  <si>
    <t>Tec, Nechama.</t>
  </si>
  <si>
    <t>New York : Oxford University Press, 1984.</t>
  </si>
  <si>
    <t>A Galaxy book ; GB 772</t>
  </si>
  <si>
    <t>2004-03-19</t>
  </si>
  <si>
    <t>1992-05-27</t>
  </si>
  <si>
    <t>565502:eng</t>
  </si>
  <si>
    <t>10913735</t>
  </si>
  <si>
    <t>991000455769702656</t>
  </si>
  <si>
    <t>2258590700002656</t>
  </si>
  <si>
    <t>9780195035001</t>
  </si>
  <si>
    <t>32285001072973</t>
  </si>
  <si>
    <t>893243265</t>
  </si>
  <si>
    <t>D810.J4 W372</t>
  </si>
  <si>
    <t>0                      D  0810000J  4                  W  372</t>
  </si>
  <si>
    <t>Britain and the Jews of Europe, 1939-1945 / Bernard Wasserstein.</t>
  </si>
  <si>
    <t>Wasserstein, Bernard.</t>
  </si>
  <si>
    <t>London : Institute of Jewish Affairs ; New York : Oxford University Press, 1979.</t>
  </si>
  <si>
    <t>1992-11-06</t>
  </si>
  <si>
    <t>416036:eng</t>
  </si>
  <si>
    <t>5100959</t>
  </si>
  <si>
    <t>991004775049702656</t>
  </si>
  <si>
    <t>2256126900002656</t>
  </si>
  <si>
    <t>9780198226000</t>
  </si>
  <si>
    <t>32285000047471</t>
  </si>
  <si>
    <t>893782635</t>
  </si>
  <si>
    <t>D810.J4 W498</t>
  </si>
  <si>
    <t>0                      D  0810000J  4                  W  498</t>
  </si>
  <si>
    <t>When God and man failed : non-Jewish views of the Holocaust / edited by Harry James Cargas.</t>
  </si>
  <si>
    <t>New York : Macmillan ; London : Collier Macmillan Publishers, c1981.</t>
  </si>
  <si>
    <t>901787058:eng</t>
  </si>
  <si>
    <t>7838075</t>
  </si>
  <si>
    <t>991005169319702656</t>
  </si>
  <si>
    <t>2255900250002656</t>
  </si>
  <si>
    <t>9780025213005</t>
  </si>
  <si>
    <t>32285000184860</t>
  </si>
  <si>
    <t>893242315</t>
  </si>
  <si>
    <t>D810.J4 Y7</t>
  </si>
  <si>
    <t>0                      D  0810000J  4                  Y  7</t>
  </si>
  <si>
    <t>España y los judíos en la Segunda Guerra Mundial.</t>
  </si>
  <si>
    <t>Ysart, Federico, 1941-</t>
  </si>
  <si>
    <t>Barcelona] DOPESA [1973]</t>
  </si>
  <si>
    <t>[1. ed.</t>
  </si>
  <si>
    <t>Testimonio de actualidad ; 29</t>
  </si>
  <si>
    <t>2005-11-03</t>
  </si>
  <si>
    <t>1629049:spa</t>
  </si>
  <si>
    <t>759634</t>
  </si>
  <si>
    <t>991003235039702656</t>
  </si>
  <si>
    <t>2269725750002656</t>
  </si>
  <si>
    <t>32285002465184</t>
  </si>
  <si>
    <t>893239992</t>
  </si>
  <si>
    <t>D810.P6 C452</t>
  </si>
  <si>
    <t>0                      D  0810000P  6                  C  452</t>
  </si>
  <si>
    <t>Propaganda by short wave / edited by Harwood L. Childs and John B. Whitton. The war on the short waves, by C. A. Rigby.</t>
  </si>
  <si>
    <t>New York : Arno Press, 1972.</t>
  </si>
  <si>
    <t>1993-03-03</t>
  </si>
  <si>
    <t>142484803:eng</t>
  </si>
  <si>
    <t>388565</t>
  </si>
  <si>
    <t>991002655299702656</t>
  </si>
  <si>
    <t>2254834360002656</t>
  </si>
  <si>
    <t>9780405047435</t>
  </si>
  <si>
    <t>32285001542223</t>
  </si>
  <si>
    <t>893597703</t>
  </si>
  <si>
    <t>D810.P7 J352 1972</t>
  </si>
  <si>
    <t>0                      D  0810000P  7                  J  352         1972</t>
  </si>
  <si>
    <t>Japan's political warfare.</t>
  </si>
  <si>
    <t>De Mendelssohn, Peter, 1908-1982.</t>
  </si>
  <si>
    <t>New York, Arno Press, 1972.</t>
  </si>
  <si>
    <t>2003-04-15</t>
  </si>
  <si>
    <t>1996-09-18</t>
  </si>
  <si>
    <t>1480911:eng</t>
  </si>
  <si>
    <t>379288</t>
  </si>
  <si>
    <t>991002615079702656</t>
  </si>
  <si>
    <t>2265019630002656</t>
  </si>
  <si>
    <t>9780405047589</t>
  </si>
  <si>
    <t>32285002333309</t>
  </si>
  <si>
    <t>893721539</t>
  </si>
  <si>
    <t>D810.P7 S94 2000</t>
  </si>
  <si>
    <t>0                      D  0810000P  7                  S  94          2000</t>
  </si>
  <si>
    <t>The wartime broadcasts of Francis Stuart, 1942-1944 / edited by Brendan Barrington.</t>
  </si>
  <si>
    <t>Stuart, Francis, 1902-2000.</t>
  </si>
  <si>
    <t>Dublin : Lilliput Press, 2000.</t>
  </si>
  <si>
    <t>34968825:eng</t>
  </si>
  <si>
    <t>45486741</t>
  </si>
  <si>
    <t>991003774249702656</t>
  </si>
  <si>
    <t>2271180430002656</t>
  </si>
  <si>
    <t>9781901866544</t>
  </si>
  <si>
    <t>32285004477344</t>
  </si>
  <si>
    <t>893711771</t>
  </si>
  <si>
    <t>D810.P7 U365 1989</t>
  </si>
  <si>
    <t>0                      D  0810000P  7                  U  365         1989</t>
  </si>
  <si>
    <t>Wartime : understanding and behavior in the Second World War / Paul Fussell.</t>
  </si>
  <si>
    <t>New York : Oxford University Press, 1989.</t>
  </si>
  <si>
    <t>1994-10-03</t>
  </si>
  <si>
    <t>1989-12-05</t>
  </si>
  <si>
    <t>18944161:eng</t>
  </si>
  <si>
    <t>19125231</t>
  </si>
  <si>
    <t>991001433279702656</t>
  </si>
  <si>
    <t>2269605420002656</t>
  </si>
  <si>
    <t>9780195037975</t>
  </si>
  <si>
    <t>32285000016435</t>
  </si>
  <si>
    <t>893231995</t>
  </si>
  <si>
    <t>D810.P7 U53 1989</t>
  </si>
  <si>
    <t>0                      D  0810000P  7                  U  53          1989</t>
  </si>
  <si>
    <t>Radio warfare : OSS and CIA subversive propaganda / Lawrence C. Soley.</t>
  </si>
  <si>
    <t>Soley, Lawrence C.</t>
  </si>
  <si>
    <t>New York : Praeger, 1989.</t>
  </si>
  <si>
    <t>1999-12-09</t>
  </si>
  <si>
    <t>242715803:eng</t>
  </si>
  <si>
    <t>18382134</t>
  </si>
  <si>
    <t>991001340719702656</t>
  </si>
  <si>
    <t>2258493070002656</t>
  </si>
  <si>
    <t>9780275930516</t>
  </si>
  <si>
    <t>32285000135995</t>
  </si>
  <si>
    <t>893809037</t>
  </si>
  <si>
    <t>D810.P76 S4613 1993</t>
  </si>
  <si>
    <t>0                      D  0810000P  76                 S  4613        1993</t>
  </si>
  <si>
    <t>Unarmed against Hitler : civilian resistance in Europe, 1939-1943 / Jacques Semelin ; translated by Suzan Husserl-Kapit ; foreword by Stanley Hoffmann.</t>
  </si>
  <si>
    <t>Sémelin, Jacques.</t>
  </si>
  <si>
    <t>Westport, Conn. : Praeger, c1993.</t>
  </si>
  <si>
    <t>2002-02-15</t>
  </si>
  <si>
    <t>3769158828:eng</t>
  </si>
  <si>
    <t>26547725</t>
  </si>
  <si>
    <t>991002072389702656</t>
  </si>
  <si>
    <t>2260286090002656</t>
  </si>
  <si>
    <t>9780275939601</t>
  </si>
  <si>
    <t>32285001817856</t>
  </si>
  <si>
    <t>893709827</t>
  </si>
  <si>
    <t>D810.S2 G6 1983</t>
  </si>
  <si>
    <t>0                      D  0810000S  2                  G  6           1983</t>
  </si>
  <si>
    <t>Alsos / Samuel A. Goudsmit ; with a new introduction by R.V. Jones.</t>
  </si>
  <si>
    <t>Goudsmit, Samuel A. (Samuel Abraham), 1902-1978.</t>
  </si>
  <si>
    <t>Los Angeles, CA : Tomash Publishers, 1983, c1947.</t>
  </si>
  <si>
    <t>History of modern physics, 1800-1950 ; v. 1</t>
  </si>
  <si>
    <t>1992-03-30</t>
  </si>
  <si>
    <t>1650829:eng</t>
  </si>
  <si>
    <t>8805725</t>
  </si>
  <si>
    <t>991000075419702656</t>
  </si>
  <si>
    <t>2270555170002656</t>
  </si>
  <si>
    <t>9780938228097</t>
  </si>
  <si>
    <t>32285000258524</t>
  </si>
  <si>
    <t>893802477</t>
  </si>
  <si>
    <t>D810.S2 Z55 1996</t>
  </si>
  <si>
    <t>0                      D  0810000S  2                  Z  55          1996</t>
  </si>
  <si>
    <t>Top secret exchange : the Tizard mission and the scientific war / David Zimmerman.</t>
  </si>
  <si>
    <t>Zimmerman, David, 1959-</t>
  </si>
  <si>
    <t>Stroud, Gloucestershire : Alan Sutton Pub. ; Montreal ; Buffalo : McGill-Queen's University Press, 1996.</t>
  </si>
  <si>
    <t>1997-05-05</t>
  </si>
  <si>
    <t>864063319:eng</t>
  </si>
  <si>
    <t>35111177</t>
  </si>
  <si>
    <t>991002687829702656</t>
  </si>
  <si>
    <t>2271620140002656</t>
  </si>
  <si>
    <t>9780750912426</t>
  </si>
  <si>
    <t>32285002478070</t>
  </si>
  <si>
    <t>893904034</t>
  </si>
  <si>
    <t>D810.S46 C67 1985</t>
  </si>
  <si>
    <t>0                      D  0810000S  46                 C  67          1985</t>
  </si>
  <si>
    <t>Virtue under fire : how World War II changed our social and sexual attitudes / John Costello.</t>
  </si>
  <si>
    <t>Costello, John.</t>
  </si>
  <si>
    <t>Boston : Little, Brown, c1985.</t>
  </si>
  <si>
    <t>1994-01-16</t>
  </si>
  <si>
    <t>1990-02-16</t>
  </si>
  <si>
    <t>889568173:eng</t>
  </si>
  <si>
    <t>12315395</t>
  </si>
  <si>
    <t>991000671359702656</t>
  </si>
  <si>
    <t>2272702420002656</t>
  </si>
  <si>
    <t>9780316739689</t>
  </si>
  <si>
    <t>32285000047505</t>
  </si>
  <si>
    <t>893871884</t>
  </si>
  <si>
    <t>D810.S7 B72 1999</t>
  </si>
  <si>
    <t>0                      D  0810000S  7                  B  72          1999</t>
  </si>
  <si>
    <t>British Security Coordination : the secret history of British intelligence in the Americas, 1940-1945 / introduction by Nigel West.</t>
  </si>
  <si>
    <t>New York : Fromm International, 1999.</t>
  </si>
  <si>
    <t>1st Fromm International ed.</t>
  </si>
  <si>
    <t>2000-03-29</t>
  </si>
  <si>
    <t>2000-03-02</t>
  </si>
  <si>
    <t>837021003:eng</t>
  </si>
  <si>
    <t>41108561</t>
  </si>
  <si>
    <t>991003019389702656</t>
  </si>
  <si>
    <t>2259831720002656</t>
  </si>
  <si>
    <t>9780880642361</t>
  </si>
  <si>
    <t>32285003666491</t>
  </si>
  <si>
    <t>893717229</t>
  </si>
  <si>
    <t>D810.S7 H47</t>
  </si>
  <si>
    <t>0                      D  0810000S  7                  H  47</t>
  </si>
  <si>
    <t>Hitler's secret war in South America, 1939-1945 : German military espionage and allied counterespionage in Brazil / by Stanley E. Hilton.</t>
  </si>
  <si>
    <t>Hilton, Stanley E., 1940-</t>
  </si>
  <si>
    <t>Baton Rouge ; London : Louisiana State University Press, 1981.</t>
  </si>
  <si>
    <t>lou</t>
  </si>
  <si>
    <t>1998-09-27</t>
  </si>
  <si>
    <t>9242:eng</t>
  </si>
  <si>
    <t>7228683</t>
  </si>
  <si>
    <t>991005091729702656</t>
  </si>
  <si>
    <t>2258279070002656</t>
  </si>
  <si>
    <t>9780807107515</t>
  </si>
  <si>
    <t>32285000047513</t>
  </si>
  <si>
    <t>893619433</t>
  </si>
  <si>
    <t>D810.S7 L43 1978b</t>
  </si>
  <si>
    <t>0                      D  0810000S  7                  L  43          1978b</t>
  </si>
  <si>
    <t>Ultra goes to war : the secret story Ronald Lewin.</t>
  </si>
  <si>
    <t>Lewin, Ronald.</t>
  </si>
  <si>
    <t>London : Hutchinson, 1978.</t>
  </si>
  <si>
    <t>14777305:eng</t>
  </si>
  <si>
    <t>4808900</t>
  </si>
  <si>
    <t>991004725449702656</t>
  </si>
  <si>
    <t>2271952510002656</t>
  </si>
  <si>
    <t>9780091344207</t>
  </si>
  <si>
    <t>32285000184894</t>
  </si>
  <si>
    <t>893901682</t>
  </si>
  <si>
    <t>D810.S7 M28 1972</t>
  </si>
  <si>
    <t>0                      D  0810000S  7                  M  28          1972</t>
  </si>
  <si>
    <t>The double-cross system in the war of 1939 to 1945 / by J.C. Masterman.</t>
  </si>
  <si>
    <t>Masterman, J. C. (John Cecil), 1891-1977.</t>
  </si>
  <si>
    <t>New Haven, Yale University Press, 1972.</t>
  </si>
  <si>
    <t>1998-03-27</t>
  </si>
  <si>
    <t>1997-06-24</t>
  </si>
  <si>
    <t>139931506:eng</t>
  </si>
  <si>
    <t>258284</t>
  </si>
  <si>
    <t>991002006599702656</t>
  </si>
  <si>
    <t>2271387990002656</t>
  </si>
  <si>
    <t>9780300014969</t>
  </si>
  <si>
    <t>32285002828886</t>
  </si>
  <si>
    <t>893340931</t>
  </si>
  <si>
    <t>D810.S7 P44</t>
  </si>
  <si>
    <t>0                      D  0810000S  7                  P  44</t>
  </si>
  <si>
    <t>Piercing the Reich : the penetration of Nazi Germany by American secret agents during World War II / Joseph E. Persico.</t>
  </si>
  <si>
    <t>Persico, Joseph E.</t>
  </si>
  <si>
    <t>New York : Viking Press, 1979.</t>
  </si>
  <si>
    <t>2002-01-10</t>
  </si>
  <si>
    <t>449492:eng</t>
  </si>
  <si>
    <t>4195075</t>
  </si>
  <si>
    <t>991004606939702656</t>
  </si>
  <si>
    <t>2261115460002656</t>
  </si>
  <si>
    <t>9780670554904</t>
  </si>
  <si>
    <t>32285000047521</t>
  </si>
  <si>
    <t>893895202</t>
  </si>
  <si>
    <t>D810.S7 P45 2001</t>
  </si>
  <si>
    <t>0                      D  0810000S  7                  P  45          2001</t>
  </si>
  <si>
    <t>Roosevelt's secret war : FDR and World War II espionage / Joseph E. Persico.</t>
  </si>
  <si>
    <t>New York : Random House, 2001.</t>
  </si>
  <si>
    <t>2001-12-18</t>
  </si>
  <si>
    <t>793983661:eng</t>
  </si>
  <si>
    <t>45835550</t>
  </si>
  <si>
    <t>991003667349702656</t>
  </si>
  <si>
    <t>2268224290002656</t>
  </si>
  <si>
    <t>9780375502460</t>
  </si>
  <si>
    <t>32285004428982</t>
  </si>
  <si>
    <t>893252607</t>
  </si>
  <si>
    <t>D810.S7 S367 1995</t>
  </si>
  <si>
    <t>0                      D  0810000S  7                  S  367         1995</t>
  </si>
  <si>
    <t>Marching orders : the untold story of World War II / Bruce Lee.</t>
  </si>
  <si>
    <t>Lee, Bruce.</t>
  </si>
  <si>
    <t>New York : Crown Publishers, c1995.</t>
  </si>
  <si>
    <t>2001-11-08</t>
  </si>
  <si>
    <t>33321099:eng</t>
  </si>
  <si>
    <t>31606517</t>
  </si>
  <si>
    <t>991002424409702656</t>
  </si>
  <si>
    <t>2262768890002656</t>
  </si>
  <si>
    <t>9780517575765</t>
  </si>
  <si>
    <t>32285002097425</t>
  </si>
  <si>
    <t>893716436</t>
  </si>
  <si>
    <t>D810.S7 S5544 1996</t>
  </si>
  <si>
    <t>0                      D  0810000S  7                  S  5544        1996</t>
  </si>
  <si>
    <t>Sharing secrets with Stalin : how the Allies traded intelligence, 1941-1945 / Bradley F. Smith.</t>
  </si>
  <si>
    <t>Smith, Bradley F.</t>
  </si>
  <si>
    <t>[Lawrence, Kan.] : University Press of Kansas, c1996.</t>
  </si>
  <si>
    <t>Modern war studies</t>
  </si>
  <si>
    <t>1996-11-25</t>
  </si>
  <si>
    <t>1996-10-30</t>
  </si>
  <si>
    <t>346290230:eng</t>
  </si>
  <si>
    <t>34358599</t>
  </si>
  <si>
    <t>991002623399702656</t>
  </si>
  <si>
    <t>2258191590002656</t>
  </si>
  <si>
    <t>9780700608003</t>
  </si>
  <si>
    <t>32285002379450</t>
  </si>
  <si>
    <t>893704288</t>
  </si>
  <si>
    <t>D810.S7 U52</t>
  </si>
  <si>
    <t>0                      D  0810000S  7                  U  52</t>
  </si>
  <si>
    <t>ULTRA and the history of the United States Strategic Air Force in Europe vs. the German Air Force / by the U.S. Army Air Force.</t>
  </si>
  <si>
    <t>United States. Army Air Forces.</t>
  </si>
  <si>
    <t>Frederick (Md) : University Publications of America, 1980.</t>
  </si>
  <si>
    <t>1996-02-28</t>
  </si>
  <si>
    <t>149353724:eng</t>
  </si>
  <si>
    <t>7200660</t>
  </si>
  <si>
    <t>991005088309702656</t>
  </si>
  <si>
    <t>2268411020002656</t>
  </si>
  <si>
    <t>9780890932452</t>
  </si>
  <si>
    <t>32285000258656</t>
  </si>
  <si>
    <t>893613095</t>
  </si>
  <si>
    <t>D810.S7 W3 1985</t>
  </si>
  <si>
    <t>0                      D  0810000S  7                  W  3           1985</t>
  </si>
  <si>
    <t>The secret forces of World War II / Philip Warner.</t>
  </si>
  <si>
    <t>Warner, Philip, 1914-2000.</t>
  </si>
  <si>
    <t>London : Granada, 1985.</t>
  </si>
  <si>
    <t>19588697:eng</t>
  </si>
  <si>
    <t>20800036</t>
  </si>
  <si>
    <t>991000692539702656</t>
  </si>
  <si>
    <t>2255651230002656</t>
  </si>
  <si>
    <t>9780246125200</t>
  </si>
  <si>
    <t>32285000047539</t>
  </si>
  <si>
    <t>893225212</t>
  </si>
  <si>
    <t>D810.S7 W44 1985</t>
  </si>
  <si>
    <t>0                      D  0810000S  7                  W  44          1985</t>
  </si>
  <si>
    <t>A thread of deceit : espionage myths of World War II / Nigel West.</t>
  </si>
  <si>
    <t>West, Nigel.</t>
  </si>
  <si>
    <t>New York : Random House, c1985.</t>
  </si>
  <si>
    <t>2863429211:eng</t>
  </si>
  <si>
    <t>11371588</t>
  </si>
  <si>
    <t>991003995349702656</t>
  </si>
  <si>
    <t>2258767130002656</t>
  </si>
  <si>
    <t>9780394539416</t>
  </si>
  <si>
    <t>32285004698725</t>
  </si>
  <si>
    <t>893687228</t>
  </si>
  <si>
    <t>D810.S7 W447</t>
  </si>
  <si>
    <t>0                      D  0810000S  7                  W  447</t>
  </si>
  <si>
    <t>Codeword BARBAROSSA.</t>
  </si>
  <si>
    <t>Whaley, Barton.</t>
  </si>
  <si>
    <t>Cambridge, Mass., MIT Press [1973]</t>
  </si>
  <si>
    <t>2002-11-16</t>
  </si>
  <si>
    <t>1589169:eng</t>
  </si>
  <si>
    <t>495253</t>
  </si>
  <si>
    <t>991002864999702656</t>
  </si>
  <si>
    <t>2255530430002656</t>
  </si>
  <si>
    <t>9780262230629</t>
  </si>
  <si>
    <t>32285002333358</t>
  </si>
  <si>
    <t>893409648</t>
  </si>
  <si>
    <t>D821.G4 B3</t>
  </si>
  <si>
    <t>0                      D  0821000G  4                  B  3</t>
  </si>
  <si>
    <t>The decision to divide Germany : American foreign policy in transition / John H. Backer. --</t>
  </si>
  <si>
    <t>Backer, John H., 1902-</t>
  </si>
  <si>
    <t>Durham, N.C. : Duke University Press, 1978.</t>
  </si>
  <si>
    <t>1991-11-12</t>
  </si>
  <si>
    <t>889909201:eng</t>
  </si>
  <si>
    <t>3931029</t>
  </si>
  <si>
    <t>991004549399702656</t>
  </si>
  <si>
    <t>2268310190002656</t>
  </si>
  <si>
    <t>9780822303916</t>
  </si>
  <si>
    <t>32285000821438</t>
  </si>
  <si>
    <t>893719066</t>
  </si>
  <si>
    <t>D821.G4 K48 1989</t>
  </si>
  <si>
    <t>0                      D  0821000G  4                  K  48          1989</t>
  </si>
  <si>
    <t>Krieg zur Friedenssicherung : die Deutschlandplanung der britischen Regierung während des Zweiten Weltkrieges / Lothar Kettenacker.</t>
  </si>
  <si>
    <t>Kettenacker, Lothar.</t>
  </si>
  <si>
    <t>Göttingen : Vandenhoeck &amp; Ruprecht, c1989.</t>
  </si>
  <si>
    <t>Veröffentlichungen des Deutschen Historischen Instituts London ; Bd. 22 = Publications of the German Historical Institute London ; v. 22</t>
  </si>
  <si>
    <t>1993-03-31</t>
  </si>
  <si>
    <t>289742333:ger</t>
  </si>
  <si>
    <t>20255714</t>
  </si>
  <si>
    <t>991005411379702656</t>
  </si>
  <si>
    <t>2264471310002656</t>
  </si>
  <si>
    <t>9783525363072</t>
  </si>
  <si>
    <t>32285001499069</t>
  </si>
  <si>
    <t>893443980</t>
  </si>
  <si>
    <t>D825 .E45 1992</t>
  </si>
  <si>
    <t>0                      D  0825000E  45          1992</t>
  </si>
  <si>
    <t>Rebuilding Europe : Western Europe, America, and postwar reconstruction / David W. Ellwood.</t>
  </si>
  <si>
    <t>Ellwood, David W.</t>
  </si>
  <si>
    <t>London ; New York : Longman, 1992.</t>
  </si>
  <si>
    <t>The Postwar world</t>
  </si>
  <si>
    <t>836862782:eng</t>
  </si>
  <si>
    <t>25130654</t>
  </si>
  <si>
    <t>991003994179702656</t>
  </si>
  <si>
    <t>2265618960002656</t>
  </si>
  <si>
    <t>9780582022447</t>
  </si>
  <si>
    <t>32285004698402</t>
  </si>
  <si>
    <t>893349487</t>
  </si>
  <si>
    <t>D829.G3 R38 1989</t>
  </si>
  <si>
    <t>0                      D  0829000G  3                  R  38          1989</t>
  </si>
  <si>
    <t>Reconstruction in post-war Germany : British occupation policy and the Western zones, 1945-55 / edited by Ian D. Turner.</t>
  </si>
  <si>
    <t>Oxford, UK ; New York : Berg ; New York : Distributed exclusively in the US and Canada by St. Martin's Press, 1989.</t>
  </si>
  <si>
    <t>823644931:eng</t>
  </si>
  <si>
    <t>18351585</t>
  </si>
  <si>
    <t>991005409679702656</t>
  </si>
  <si>
    <t>2265790620002656</t>
  </si>
  <si>
    <t>9780854960965</t>
  </si>
  <si>
    <t>32285000313873</t>
  </si>
  <si>
    <t>893514695</t>
  </si>
  <si>
    <t>D829.S65 I46 1985</t>
  </si>
  <si>
    <t>0                      D  0829000S  65                 I  46          1985</t>
  </si>
  <si>
    <t>The Impact of World War II on the Soviet Union / edited by Susan J. Linz.</t>
  </si>
  <si>
    <t>Totowa, NJ : Rowman &amp; Allanheld, 1985.</t>
  </si>
  <si>
    <t>1990-09-20</t>
  </si>
  <si>
    <t>54660746:eng</t>
  </si>
  <si>
    <t>11090141</t>
  </si>
  <si>
    <t>991000487949702656</t>
  </si>
  <si>
    <t>2269241650002656</t>
  </si>
  <si>
    <t>9780847673797</t>
  </si>
  <si>
    <t>32285000258821</t>
  </si>
  <si>
    <t>893695873</t>
  </si>
  <si>
    <t>D836.W37 M55 2004</t>
  </si>
  <si>
    <t>0                      D  0836000W  37                 M  55          2004</t>
  </si>
  <si>
    <t>Their last battle : the fight for the national World War II memorial / Nicolaus Mills.</t>
  </si>
  <si>
    <t>Mills, Nicolaus.</t>
  </si>
  <si>
    <t>New York : Basic Books, c2004.</t>
  </si>
  <si>
    <t>1353928085:eng</t>
  </si>
  <si>
    <t>53840221</t>
  </si>
  <si>
    <t>991004305699702656</t>
  </si>
  <si>
    <t>2261665390002656</t>
  </si>
  <si>
    <t>9780465045822</t>
  </si>
  <si>
    <t>32285005023972</t>
  </si>
  <si>
    <t>893349846</t>
  </si>
  <si>
    <t>D839.2 .A17 1998</t>
  </si>
  <si>
    <t>0                      D  0839200A  17          1998</t>
  </si>
  <si>
    <t>1968, the world transformed / edited by Carole Fink, Philipp Gassert, and Detlef Junker.</t>
  </si>
  <si>
    <t>Cambridge, UK ; New York, NY, USA : Cambridge University Press, 1998.</t>
  </si>
  <si>
    <t>2001-04-11</t>
  </si>
  <si>
    <t>2000-03-23</t>
  </si>
  <si>
    <t>864617672:eng</t>
  </si>
  <si>
    <t>39108700</t>
  </si>
  <si>
    <t>991002939549702656</t>
  </si>
  <si>
    <t>2263692270002656</t>
  </si>
  <si>
    <t>9780521641418</t>
  </si>
  <si>
    <t>32285003673828</t>
  </si>
  <si>
    <t>893774207</t>
  </si>
  <si>
    <t>D839.3 .O74 1991</t>
  </si>
  <si>
    <t>0                      D  0839300O  74          1991</t>
  </si>
  <si>
    <t>Origins of the Cold War : the Novikov, Kennan, and Roberts "long telegrams" of 1946 / Kenneth M. Jensen, editor.</t>
  </si>
  <si>
    <t>Washington, D.C. : United States Institute of Peace, 1991.</t>
  </si>
  <si>
    <t>1991-12-30</t>
  </si>
  <si>
    <t>5610512609:eng</t>
  </si>
  <si>
    <t>22951782</t>
  </si>
  <si>
    <t>991001826279702656</t>
  </si>
  <si>
    <t>2262104610002656</t>
  </si>
  <si>
    <t>9781878379108</t>
  </si>
  <si>
    <t>32285000862531</t>
  </si>
  <si>
    <t>893866519</t>
  </si>
  <si>
    <t>D839.7.H3 A313 1977</t>
  </si>
  <si>
    <t>0                      D  0839700H  3                  A  313         1977</t>
  </si>
  <si>
    <t>Markings / translated from the Swedish by Leif Sjöberg &amp; W. H. Auden. With a foreword by W. H. Auden.</t>
  </si>
  <si>
    <t>Hammarskjöld, Dag, 1905-1961.</t>
  </si>
  <si>
    <t>New York : Knopf, c1964, 1977 printing.</t>
  </si>
  <si>
    <t>1995-11-04</t>
  </si>
  <si>
    <t>501693525:eng</t>
  </si>
  <si>
    <t>289633</t>
  </si>
  <si>
    <t>991002219319702656</t>
  </si>
  <si>
    <t>2262026520002656</t>
  </si>
  <si>
    <t>32285000305820</t>
  </si>
  <si>
    <t>893347253</t>
  </si>
  <si>
    <t>D839.7.W34 P35 1988</t>
  </si>
  <si>
    <t>0                      D  0839700W  34                 P  35          1988</t>
  </si>
  <si>
    <t>The Waldheim files : myth and reality / Michael Palumbo.</t>
  </si>
  <si>
    <t>Palumbo, Michael.</t>
  </si>
  <si>
    <t>London : Faber, 1988.</t>
  </si>
  <si>
    <t>1998-02-23</t>
  </si>
  <si>
    <t>819710359:eng</t>
  </si>
  <si>
    <t>59165299</t>
  </si>
  <si>
    <t>991001193039702656</t>
  </si>
  <si>
    <t>2268665630002656</t>
  </si>
  <si>
    <t>9780571150878</t>
  </si>
  <si>
    <t>32285000014398</t>
  </si>
  <si>
    <t>893444614</t>
  </si>
  <si>
    <t>D840 .B422 2001</t>
  </si>
  <si>
    <t>0                      D  0840000B  422         2001</t>
  </si>
  <si>
    <t>America and the intellectual cold wars in Europe : Shepard Stone between philanthropy, academy, and diplomacy / Volker R. Berghahn.</t>
  </si>
  <si>
    <t>Berghahn, Volker R. (Volker Rolf), 1938-</t>
  </si>
  <si>
    <t>Princeton, N.J. : Princeton University Press, c2001.</t>
  </si>
  <si>
    <t>2002-04-09</t>
  </si>
  <si>
    <t>2002-03-19</t>
  </si>
  <si>
    <t>892618:eng</t>
  </si>
  <si>
    <t>46997962</t>
  </si>
  <si>
    <t>991003736979702656</t>
  </si>
  <si>
    <t>2257820000002656</t>
  </si>
  <si>
    <t>9780691074795</t>
  </si>
  <si>
    <t>32285004462387</t>
  </si>
  <si>
    <t>893718023</t>
  </si>
  <si>
    <t>D842 .F58 1992</t>
  </si>
  <si>
    <t>0                      D  0842000F  58          1992</t>
  </si>
  <si>
    <t>Foreign military intervention : the dynamics of protracted conflict / Ariel E. Levite, Bruce W. Jentleson, Larry Berman, editors.</t>
  </si>
  <si>
    <t>2005-06-30</t>
  </si>
  <si>
    <t>1995-08-31</t>
  </si>
  <si>
    <t>986793601:eng</t>
  </si>
  <si>
    <t>25200408</t>
  </si>
  <si>
    <t>991001984229702656</t>
  </si>
  <si>
    <t>2262734310002656</t>
  </si>
  <si>
    <t>32285002091709</t>
  </si>
  <si>
    <t>893715917</t>
  </si>
  <si>
    <t>D842 .I55 1991</t>
  </si>
  <si>
    <t>0                      D  0842000I  55          1991</t>
  </si>
  <si>
    <t>Leadership in an interdependent world : the state[s]manship of Adenauer, De Gaulle, Thatcher, Reagan, and Gorbachev / Ghița Ionescu.</t>
  </si>
  <si>
    <t>Ionescu, Ghița.</t>
  </si>
  <si>
    <t>Boulder, Colo. : Westview Press, 1991.</t>
  </si>
  <si>
    <t>1999-10-08</t>
  </si>
  <si>
    <t>1995-06-06</t>
  </si>
  <si>
    <t>24536427:eng</t>
  </si>
  <si>
    <t>22985065</t>
  </si>
  <si>
    <t>991001830489702656</t>
  </si>
  <si>
    <t>2272458490002656</t>
  </si>
  <si>
    <t>9780582078529</t>
  </si>
  <si>
    <t>32285002050325</t>
  </si>
  <si>
    <t>893772944</t>
  </si>
  <si>
    <t>D842 .O86 1994</t>
  </si>
  <si>
    <t>0                      D  0842000O  86          1994</t>
  </si>
  <si>
    <t>Origins of the Cold War : an international history / edited by Melvyn P. Leffler and David S. Painter.</t>
  </si>
  <si>
    <t>London ; New York : Routledge, 1994.</t>
  </si>
  <si>
    <t>Rewriting histories</t>
  </si>
  <si>
    <t>2005-01-18</t>
  </si>
  <si>
    <t>1073208159:eng</t>
  </si>
  <si>
    <t>28711488</t>
  </si>
  <si>
    <t>991002229399702656</t>
  </si>
  <si>
    <t>2262773880002656</t>
  </si>
  <si>
    <t>9780415096935</t>
  </si>
  <si>
    <t>32285002003829</t>
  </si>
  <si>
    <t>893427367</t>
  </si>
  <si>
    <t>D842.3 .C48 1998</t>
  </si>
  <si>
    <t>0                      D  0842300C  48          1998</t>
  </si>
  <si>
    <t>Chronology of the Cold War at sea, 1945-1991 / Norman Polmar ... [et al.].</t>
  </si>
  <si>
    <t>Annapolis, Md. : Naval Institute Press, c1998.</t>
  </si>
  <si>
    <t>2001-01-25</t>
  </si>
  <si>
    <t>349960163:eng</t>
  </si>
  <si>
    <t>37457909</t>
  </si>
  <si>
    <t>991003320269702656</t>
  </si>
  <si>
    <t>2263804500002656</t>
  </si>
  <si>
    <t>9781557506856</t>
  </si>
  <si>
    <t>32285004292453</t>
  </si>
  <si>
    <t>893422449</t>
  </si>
  <si>
    <t>D842.5 .B34</t>
  </si>
  <si>
    <t>0                      D  0842500B  34</t>
  </si>
  <si>
    <t>The adversaries : America, Russia and open world 1941-62 / Michael Balfour.</t>
  </si>
  <si>
    <t>Balfour, Michael, 1908-1995.</t>
  </si>
  <si>
    <t>London ; Boston : Routledge &amp; Kegan Paul, 1981.</t>
  </si>
  <si>
    <t>370171262:eng</t>
  </si>
  <si>
    <t>7373130</t>
  </si>
  <si>
    <t>991005110319702656</t>
  </si>
  <si>
    <t>2255843210002656</t>
  </si>
  <si>
    <t>32285000272145</t>
  </si>
  <si>
    <t>893326177</t>
  </si>
  <si>
    <t>D843 .B486 1987</t>
  </si>
  <si>
    <t>0                      D  0843000B  486         1987</t>
  </si>
  <si>
    <t>Nuclear blackmail and nuclear balance / Richard K. Betts.</t>
  </si>
  <si>
    <t>Betts, Richard K., 1947-</t>
  </si>
  <si>
    <t>Washington, D.C. : Brookings Institution, c1987.</t>
  </si>
  <si>
    <t>1994-01-19</t>
  </si>
  <si>
    <t>138730298:eng</t>
  </si>
  <si>
    <t>15789862</t>
  </si>
  <si>
    <t>991001060939702656</t>
  </si>
  <si>
    <t>2260366270002656</t>
  </si>
  <si>
    <t>9780815709350</t>
  </si>
  <si>
    <t>32285000047570</t>
  </si>
  <si>
    <t>893614742</t>
  </si>
  <si>
    <t>D843 .C25 2001</t>
  </si>
  <si>
    <t>0                      D  0843000C  25          2001</t>
  </si>
  <si>
    <t>World politics, 1945-2000 / Peter Calvocoressi.</t>
  </si>
  <si>
    <t>Harlow, England ; New York : Longman ; Pearson Education, 2001.</t>
  </si>
  <si>
    <t>8th ed.</t>
  </si>
  <si>
    <t>2001-10-13</t>
  </si>
  <si>
    <t>2908567875:eng</t>
  </si>
  <si>
    <t>44016541</t>
  </si>
  <si>
    <t>991003621019702656</t>
  </si>
  <si>
    <t>2260134350002656</t>
  </si>
  <si>
    <t>9780582073791</t>
  </si>
  <si>
    <t>32285004395728</t>
  </si>
  <si>
    <t>893318188</t>
  </si>
  <si>
    <t>D843 .C5285 1995</t>
  </si>
  <si>
    <t>0                      D  0843000C  5285        1995</t>
  </si>
  <si>
    <t>Continuity and change in contemporary Europe / Clive H. Church, Gisela Hendriks.</t>
  </si>
  <si>
    <t>Church, Clive H.</t>
  </si>
  <si>
    <t>Aldershot, U.K. ; Brookfield, Vt. : Edward Elgar, c1995.</t>
  </si>
  <si>
    <t>vtu</t>
  </si>
  <si>
    <t>2004-04-07</t>
  </si>
  <si>
    <t>1996-12-11</t>
  </si>
  <si>
    <t>37163412:eng</t>
  </si>
  <si>
    <t>32548076</t>
  </si>
  <si>
    <t>991005421339702656</t>
  </si>
  <si>
    <t>2265738480002656</t>
  </si>
  <si>
    <t>9781852784201</t>
  </si>
  <si>
    <t>32285002392487</t>
  </si>
  <si>
    <t>893689173</t>
  </si>
  <si>
    <t>D843 .C57724 2001</t>
  </si>
  <si>
    <t>0                      D  0843000C  57724       2001</t>
  </si>
  <si>
    <t>The Cold War / edited with introductions by Lori Lyn Bogle.</t>
  </si>
  <si>
    <t>2002-10-24</t>
  </si>
  <si>
    <t>2865548202:eng</t>
  </si>
  <si>
    <t>46991983</t>
  </si>
  <si>
    <t>991003693879702656</t>
  </si>
  <si>
    <t>2256624940002656</t>
  </si>
  <si>
    <t>9780815337218</t>
  </si>
  <si>
    <t>32285004447735</t>
  </si>
  <si>
    <t>893324355</t>
  </si>
  <si>
    <t>D843 .D27</t>
  </si>
  <si>
    <t>0                      D  0843000D  27</t>
  </si>
  <si>
    <t>The Nuremberg fallacy; wars and war crimes since World War II.</t>
  </si>
  <si>
    <t>Davidson, Eugene, 1902-2002.</t>
  </si>
  <si>
    <t>New York, Macmillan [1973]</t>
  </si>
  <si>
    <t>2000-07-22</t>
  </si>
  <si>
    <t>234398547:eng</t>
  </si>
  <si>
    <t>627910</t>
  </si>
  <si>
    <t>991003074289702656</t>
  </si>
  <si>
    <t>2258032920002656</t>
  </si>
  <si>
    <t>32285002334505</t>
  </si>
  <si>
    <t>893336110</t>
  </si>
  <si>
    <t>D843 .D374 1986</t>
  </si>
  <si>
    <t>0                      D  0843000D  374         1986</t>
  </si>
  <si>
    <t>Europe between the superpowers : the enduring balance / A.W. DePorte.</t>
  </si>
  <si>
    <t>DePorte, A. W. (Anton W.), 1928-</t>
  </si>
  <si>
    <t>New Haven : Yale University Press, c1986.</t>
  </si>
  <si>
    <t>836672572:eng</t>
  </si>
  <si>
    <t>16581620</t>
  </si>
  <si>
    <t>991001121529702656</t>
  </si>
  <si>
    <t>2258430630002656</t>
  </si>
  <si>
    <t>9780300037586</t>
  </si>
  <si>
    <t>32285000258946</t>
  </si>
  <si>
    <t>893420084</t>
  </si>
  <si>
    <t>D843 .F387 1970</t>
  </si>
  <si>
    <t>0                      D  0843000F  387         1970</t>
  </si>
  <si>
    <t>From trust to terror : the onset of the cold war, 1945-1950.</t>
  </si>
  <si>
    <t>New York : Norton, [1970]</t>
  </si>
  <si>
    <t>1995-04-27</t>
  </si>
  <si>
    <t>1329484:eng</t>
  </si>
  <si>
    <t>98522</t>
  </si>
  <si>
    <t>991000603579702656</t>
  </si>
  <si>
    <t>2271935530002656</t>
  </si>
  <si>
    <t>9780393054255</t>
  </si>
  <si>
    <t>32285000138528</t>
  </si>
  <si>
    <t>893528195</t>
  </si>
  <si>
    <t>D843 .F52 1974</t>
  </si>
  <si>
    <t>0                      D  0843000F  52          1974</t>
  </si>
  <si>
    <t>Russia, America, and the world.</t>
  </si>
  <si>
    <t>Fischer, Louis, 1896-1970.</t>
  </si>
  <si>
    <t>Westport, Conn., Greenwood Press [1974, c1961]</t>
  </si>
  <si>
    <t>1997-04-29</t>
  </si>
  <si>
    <t>1344218:eng</t>
  </si>
  <si>
    <t>994946</t>
  </si>
  <si>
    <t>991003455349702656</t>
  </si>
  <si>
    <t>2256892540002656</t>
  </si>
  <si>
    <t>9780837173924</t>
  </si>
  <si>
    <t>32285002334554</t>
  </si>
  <si>
    <t>893252376</t>
  </si>
  <si>
    <t>D843 .G2813 1971b</t>
  </si>
  <si>
    <t>0                      D  0843000G  2813        1971b</t>
  </si>
  <si>
    <t>Memoirs of hope: renewal and endeavor. Translated by Terence Kilmartin.</t>
  </si>
  <si>
    <t>Gaulle, Charles de, 1890-1970.</t>
  </si>
  <si>
    <t>New York, Simon and Schuster [1971]</t>
  </si>
  <si>
    <t>1992-06-15</t>
  </si>
  <si>
    <t>1359430:eng</t>
  </si>
  <si>
    <t>2932743</t>
  </si>
  <si>
    <t>991004288329702656</t>
  </si>
  <si>
    <t>2268647160002656</t>
  </si>
  <si>
    <t>9780671211189</t>
  </si>
  <si>
    <t>32285000901941</t>
  </si>
  <si>
    <t>893500377</t>
  </si>
  <si>
    <t>D843 .G7</t>
  </si>
  <si>
    <t>0                      D  0843000G  7</t>
  </si>
  <si>
    <t>The cold war: ideological conflict or power struggle?</t>
  </si>
  <si>
    <t>Graebner, Norman A., editor.</t>
  </si>
  <si>
    <t>Boston, Heath [c1963]</t>
  </si>
  <si>
    <t>867254959:eng</t>
  </si>
  <si>
    <t>1175469</t>
  </si>
  <si>
    <t>991003593949702656</t>
  </si>
  <si>
    <t>2271820050002656</t>
  </si>
  <si>
    <t>32285002334604</t>
  </si>
  <si>
    <t>893531339</t>
  </si>
  <si>
    <t>D843 .H26 1967a</t>
  </si>
  <si>
    <t>0                      D  0843000H  26          1967a</t>
  </si>
  <si>
    <t>The cold war as history / by Louis J. Halle.</t>
  </si>
  <si>
    <t>Halle, Louis Joseph, 1910-1998.</t>
  </si>
  <si>
    <t>New York : Harper &amp; Row, [1967]</t>
  </si>
  <si>
    <t>1992-08-07</t>
  </si>
  <si>
    <t>1174336:eng</t>
  </si>
  <si>
    <t>234059</t>
  </si>
  <si>
    <t>991001662119702656</t>
  </si>
  <si>
    <t>2257507600002656</t>
  </si>
  <si>
    <t>32285001243137</t>
  </si>
  <si>
    <t>893684497</t>
  </si>
  <si>
    <t>D843 .H438 1980</t>
  </si>
  <si>
    <t>0                      D  0843000H  438         1980</t>
  </si>
  <si>
    <t>The winning weapon : the atomic bomb in the cold war, 1945-1950 / Gregg Herken.</t>
  </si>
  <si>
    <t>Herken, Gregg, 1947-</t>
  </si>
  <si>
    <t>New York : Knopf : distributed by Random House, 1980.</t>
  </si>
  <si>
    <t>462804:eng</t>
  </si>
  <si>
    <t>6735029</t>
  </si>
  <si>
    <t>991005032829702656</t>
  </si>
  <si>
    <t>2267899360002656</t>
  </si>
  <si>
    <t>9780394503943</t>
  </si>
  <si>
    <t>32285000047588</t>
  </si>
  <si>
    <t>893883233</t>
  </si>
  <si>
    <t>D843 .H47</t>
  </si>
  <si>
    <t>0                      D  0843000H  47</t>
  </si>
  <si>
    <t>Beginnings of the cold war [by] Martin F. Herz.</t>
  </si>
  <si>
    <t>Herz, Martin F. (Martin Florian), 1917-1983.</t>
  </si>
  <si>
    <t>Bloomington, Indiana University Press [1966]</t>
  </si>
  <si>
    <t>Indiana University international studies</t>
  </si>
  <si>
    <t>213686173:eng</t>
  </si>
  <si>
    <t>397134</t>
  </si>
  <si>
    <t>991002676459702656</t>
  </si>
  <si>
    <t>2261541950002656</t>
  </si>
  <si>
    <t>32285002334653</t>
  </si>
  <si>
    <t>893233261</t>
  </si>
  <si>
    <t>D843 .J33 1982</t>
  </si>
  <si>
    <t>0                      D  0843000J  33          1982</t>
  </si>
  <si>
    <t>The nuclear era, its history, its implications / Carl G. Jacobsen.</t>
  </si>
  <si>
    <t>Jacobsen, C. G. (Carl G.)</t>
  </si>
  <si>
    <t>Cambridge, Mass. : Oelgeschlager, Gunn &amp; Hain ; Nottingham, U.K. : Spokesman, 1982.</t>
  </si>
  <si>
    <t>555265:eng</t>
  </si>
  <si>
    <t>8475217</t>
  </si>
  <si>
    <t>991005248159702656</t>
  </si>
  <si>
    <t>2259414030002656</t>
  </si>
  <si>
    <t>9780899461588</t>
  </si>
  <si>
    <t>32285002022175</t>
  </si>
  <si>
    <t>893694979</t>
  </si>
  <si>
    <t>D843 .K323</t>
  </si>
  <si>
    <t>0                      D  0843000K  323</t>
  </si>
  <si>
    <t>Cold winter, cold war [by] Robert G. Kaiser.</t>
  </si>
  <si>
    <t>Kaiser, Robert G., 1943-</t>
  </si>
  <si>
    <t>New York, Stein and Day [1974]</t>
  </si>
  <si>
    <t>1836670:eng</t>
  </si>
  <si>
    <t>867545</t>
  </si>
  <si>
    <t>991003336989702656</t>
  </si>
  <si>
    <t>2265823180002656</t>
  </si>
  <si>
    <t>9780812816259</t>
  </si>
  <si>
    <t>32285002334711</t>
  </si>
  <si>
    <t>893511854</t>
  </si>
  <si>
    <t>D843 .L52</t>
  </si>
  <si>
    <t>0                      D  0843000L  52</t>
  </si>
  <si>
    <t>Western unity and the Common Market.</t>
  </si>
  <si>
    <t>Lippmann, Walter, 1889-1974.</t>
  </si>
  <si>
    <t>Boston, Little, Brown [1962]</t>
  </si>
  <si>
    <t>1536099:eng</t>
  </si>
  <si>
    <t>394518</t>
  </si>
  <si>
    <t>991002669059702656</t>
  </si>
  <si>
    <t>2260146730002656</t>
  </si>
  <si>
    <t>32285002334778</t>
  </si>
  <si>
    <t>893262402</t>
  </si>
  <si>
    <t>D843 .L617 1991</t>
  </si>
  <si>
    <t>0                      D  0843000L  617         1991</t>
  </si>
  <si>
    <t>The Long postwar peace : contending explanations and projections / Charles W. Kegley, Jr., editor.</t>
  </si>
  <si>
    <t>1993-04-27</t>
  </si>
  <si>
    <t>1991-05-09</t>
  </si>
  <si>
    <t>865030332:eng</t>
  </si>
  <si>
    <t>22005449</t>
  </si>
  <si>
    <t>991001741849702656</t>
  </si>
  <si>
    <t>2264598630002656</t>
  </si>
  <si>
    <t>9780673460936</t>
  </si>
  <si>
    <t>32285000571769</t>
  </si>
  <si>
    <t>893879132</t>
  </si>
  <si>
    <t>D843 .L6713 1988</t>
  </si>
  <si>
    <t>0                      D  0843000L  6713        1988</t>
  </si>
  <si>
    <t>The division of the world, 1941-1955 / Wilfried Loth.</t>
  </si>
  <si>
    <t>Loth, Wilfried.</t>
  </si>
  <si>
    <t>New York : St. Martin's Press, 1988.</t>
  </si>
  <si>
    <t>4494899225:eng</t>
  </si>
  <si>
    <t>17676568</t>
  </si>
  <si>
    <t>991001250999702656</t>
  </si>
  <si>
    <t>2260570340002656</t>
  </si>
  <si>
    <t>9780312020453</t>
  </si>
  <si>
    <t>32285000258987</t>
  </si>
  <si>
    <t>893522421</t>
  </si>
  <si>
    <t>D843 .L8413 1986</t>
  </si>
  <si>
    <t>0                      D  0843000L  8413        1986</t>
  </si>
  <si>
    <t>East, west, north, south : major developments in international politics, 1945-1986 / Geir Lundestad ; translated from the Norwegian by Gail Adams Kvam.</t>
  </si>
  <si>
    <t>Lundestad, Geir, 1945-</t>
  </si>
  <si>
    <t>Oslo : Norwegian University Press ; New York : Distributed by Oxford University Press, c1986.</t>
  </si>
  <si>
    <t>31248:eng</t>
  </si>
  <si>
    <t>19125468</t>
  </si>
  <si>
    <t>991001433599702656</t>
  </si>
  <si>
    <t>2269589660002656</t>
  </si>
  <si>
    <t>9788200183549</t>
  </si>
  <si>
    <t>32285001036150</t>
  </si>
  <si>
    <t>893866226</t>
  </si>
  <si>
    <t>D843 .M244</t>
  </si>
  <si>
    <t>0                      D  0843000M  244</t>
  </si>
  <si>
    <t>The nuclear revolution : international politics before and after Hiroshima / Michael Mandelbaum.</t>
  </si>
  <si>
    <t>Cambridge, [Eng.] ; New York : Cambridge University Press, 1981.</t>
  </si>
  <si>
    <t>1999-04-08</t>
  </si>
  <si>
    <t>807011591:eng</t>
  </si>
  <si>
    <t>6816040</t>
  </si>
  <si>
    <t>991005044749702656</t>
  </si>
  <si>
    <t>2258453410002656</t>
  </si>
  <si>
    <t>9780521238199</t>
  </si>
  <si>
    <t>32285000047612</t>
  </si>
  <si>
    <t>893789347</t>
  </si>
  <si>
    <t>D843 .M34 1997</t>
  </si>
  <si>
    <t>0                      D  0843000M  34          1997</t>
  </si>
  <si>
    <t>The world since 1945 : a history of international relations / Wayne C. McWilliams &amp; Harry Piotrowski.</t>
  </si>
  <si>
    <t>McWilliams, Wayne C.</t>
  </si>
  <si>
    <t>Boulder, Colo. : Lynne Rienner Publishers, 1997.</t>
  </si>
  <si>
    <t>1997-10-08</t>
  </si>
  <si>
    <t>793198564:eng</t>
  </si>
  <si>
    <t>37043875</t>
  </si>
  <si>
    <t>991002819559702656</t>
  </si>
  <si>
    <t>2254857340002656</t>
  </si>
  <si>
    <t>9781555876210</t>
  </si>
  <si>
    <t>32285003253571</t>
  </si>
  <si>
    <t>893323423</t>
  </si>
  <si>
    <t>D843 .N52 1993</t>
  </si>
  <si>
    <t>0                      D  0843000N  52          1993</t>
  </si>
  <si>
    <t>The geopolitics of power and conflict : superpowers in the international system, 1945-1992 / Jan Nijman.</t>
  </si>
  <si>
    <t>Nijman, Jan.</t>
  </si>
  <si>
    <t>London ; New York : Belhaven Press ; New York, NY : Halsted Press, 1993.</t>
  </si>
  <si>
    <t>Studies in political geography</t>
  </si>
  <si>
    <t>1994-10-06</t>
  </si>
  <si>
    <t>836790899:eng</t>
  </si>
  <si>
    <t>28221278</t>
  </si>
  <si>
    <t>991002194939702656</t>
  </si>
  <si>
    <t>2261622640002656</t>
  </si>
  <si>
    <t>9780470220115</t>
  </si>
  <si>
    <t>32285001948941</t>
  </si>
  <si>
    <t>893709975</t>
  </si>
  <si>
    <t>D843 .R435</t>
  </si>
  <si>
    <t>0                      D  0843000R  435</t>
  </si>
  <si>
    <t>Resolving nationality conflicts : the role of public opinion research / edited by W. Phillips Davison, Leon Gordenker ; written under the auspices of the Center of International Studies, Princeton University.</t>
  </si>
  <si>
    <t>1996-04-05</t>
  </si>
  <si>
    <t>890399552:eng</t>
  </si>
  <si>
    <t>6446451</t>
  </si>
  <si>
    <t>991004983749702656</t>
  </si>
  <si>
    <t>2256226860002656</t>
  </si>
  <si>
    <t>9780030562297</t>
  </si>
  <si>
    <t>32285000259001</t>
  </si>
  <si>
    <t>893619289</t>
  </si>
  <si>
    <t>D843 .S3365 1997</t>
  </si>
  <si>
    <t>0                      D  0843000S  3365        1997</t>
  </si>
  <si>
    <t>The Cold War reference guide : a general history and annotated chronology with selected biographies / by Richard Alan Schwartz.</t>
  </si>
  <si>
    <t>Schwartz, Richard Alan, 1951-</t>
  </si>
  <si>
    <t>Jefferson, N.C. : McFarland, c1997.</t>
  </si>
  <si>
    <t>1998-06-15</t>
  </si>
  <si>
    <t>367858587:eng</t>
  </si>
  <si>
    <t>35325334</t>
  </si>
  <si>
    <t>991002706009702656</t>
  </si>
  <si>
    <t>2259789250002656</t>
  </si>
  <si>
    <t>9780786401734</t>
  </si>
  <si>
    <t>32285003420576</t>
  </si>
  <si>
    <t>893616459</t>
  </si>
  <si>
    <t>D843 .S546 1998</t>
  </si>
  <si>
    <t>0                      D  0843000S  546         1998</t>
  </si>
  <si>
    <t>The Cold War, 1945-1991 / Joseph Smith.</t>
  </si>
  <si>
    <t>Smith, Joseph, 1945-</t>
  </si>
  <si>
    <t>Oxford, UK ; Malden, Mass. : Blackwell, 1998.</t>
  </si>
  <si>
    <t>1998-07-24</t>
  </si>
  <si>
    <t>1998-02-04</t>
  </si>
  <si>
    <t>3944002474:eng</t>
  </si>
  <si>
    <t>36800531</t>
  </si>
  <si>
    <t>991002801329702656</t>
  </si>
  <si>
    <t>2256728900002656</t>
  </si>
  <si>
    <t>9780631191384</t>
  </si>
  <si>
    <t>32285003312179</t>
  </si>
  <si>
    <t>893262476</t>
  </si>
  <si>
    <t>D843 .S85 1995</t>
  </si>
  <si>
    <t>0                      D  0843000S  85          1995</t>
  </si>
  <si>
    <t>Case histories in international politics / Kendall W. Stiles.</t>
  </si>
  <si>
    <t>Stiles, Kendall W.</t>
  </si>
  <si>
    <t>New York, NY : HarperCollinsCollege Publishers, c1995.</t>
  </si>
  <si>
    <t>2000-12-10</t>
  </si>
  <si>
    <t>73941:eng</t>
  </si>
  <si>
    <t>30036751</t>
  </si>
  <si>
    <t>991002315489702656</t>
  </si>
  <si>
    <t>2270935190002656</t>
  </si>
  <si>
    <t>9780065014150</t>
  </si>
  <si>
    <t>32285003476537</t>
  </si>
  <si>
    <t>893510578</t>
  </si>
  <si>
    <t>D843 .W35</t>
  </si>
  <si>
    <t>0                      D  0843000W  35</t>
  </si>
  <si>
    <t>The West at bay.</t>
  </si>
  <si>
    <t>Ward, Barbara, 1914-1981.</t>
  </si>
  <si>
    <t>New York, Norton [1948]</t>
  </si>
  <si>
    <t>118063052:eng</t>
  </si>
  <si>
    <t>179210</t>
  </si>
  <si>
    <t>991001074129702656</t>
  </si>
  <si>
    <t>2265169120002656</t>
  </si>
  <si>
    <t>32285002334893</t>
  </si>
  <si>
    <t>893426295</t>
  </si>
  <si>
    <t>D843 .W63 1988</t>
  </si>
  <si>
    <t>0                      D  0843000W  63          1988</t>
  </si>
  <si>
    <t>The changing agenda : world politics since 1945 / Sylvia Woodby, Martha L. Cottam.</t>
  </si>
  <si>
    <t>Woodby, Sylvia.</t>
  </si>
  <si>
    <t>Boulder : Westview Press, 1988.</t>
  </si>
  <si>
    <t>836627669:eng</t>
  </si>
  <si>
    <t>15856173</t>
  </si>
  <si>
    <t>991001068589702656</t>
  </si>
  <si>
    <t>2272354280002656</t>
  </si>
  <si>
    <t>9780813304137</t>
  </si>
  <si>
    <t>32285000259043</t>
  </si>
  <si>
    <t>893803309</t>
  </si>
  <si>
    <t>D844 .F68</t>
  </si>
  <si>
    <t>0                      D  0844000F  68</t>
  </si>
  <si>
    <t>France, Germany, and the Western alliance; a study of elite attitudes on European integration and world politics [by] Karl W. Deutsch [and others]</t>
  </si>
  <si>
    <t>New York, Scribner [1967]</t>
  </si>
  <si>
    <t>1999-09-03</t>
  </si>
  <si>
    <t>835843615:eng</t>
  </si>
  <si>
    <t>394515</t>
  </si>
  <si>
    <t>991002669029702656</t>
  </si>
  <si>
    <t>2260146540002656</t>
  </si>
  <si>
    <t>32285002334976</t>
  </si>
  <si>
    <t>893892833</t>
  </si>
  <si>
    <t>D845 .B37 1993</t>
  </si>
  <si>
    <t>0                      D  0845000B  37          1993</t>
  </si>
  <si>
    <t>The diplomacy of pragmatism : Britain and the formation of NATO, 1942-1949 / John Baylis.</t>
  </si>
  <si>
    <t>Baylis, John.</t>
  </si>
  <si>
    <t>Kent, Ohio : Kent State University Press, c1993.</t>
  </si>
  <si>
    <t>American diplomatic history</t>
  </si>
  <si>
    <t>890661335:eng</t>
  </si>
  <si>
    <t>25632214</t>
  </si>
  <si>
    <t>991002016269702656</t>
  </si>
  <si>
    <t>2268340450002656</t>
  </si>
  <si>
    <t>9780873384711</t>
  </si>
  <si>
    <t>32285001815249</t>
  </si>
  <si>
    <t>893232461</t>
  </si>
  <si>
    <t>D845 .T48 1997</t>
  </si>
  <si>
    <t>0                      D  0845000T  48          1997</t>
  </si>
  <si>
    <t>The promise of alliance : NATO and the political imagination / Ian Q.R. Thomas.</t>
  </si>
  <si>
    <t>Thomas, Ian Q. R.</t>
  </si>
  <si>
    <t>Lanham : Rowman &amp; Littlefield, c1997.</t>
  </si>
  <si>
    <t>1999-09-06</t>
  </si>
  <si>
    <t>1998-12-08</t>
  </si>
  <si>
    <t>634638:eng</t>
  </si>
  <si>
    <t>36746439</t>
  </si>
  <si>
    <t>991002797399702656</t>
  </si>
  <si>
    <t>2263515500002656</t>
  </si>
  <si>
    <t>9780847685806</t>
  </si>
  <si>
    <t>32285003494373</t>
  </si>
  <si>
    <t>893899239</t>
  </si>
  <si>
    <t>D845.2 .N19 1989</t>
  </si>
  <si>
    <t>0                      D  0845200N  19          1989</t>
  </si>
  <si>
    <t>NATO at forty : change, continuity, &amp; prospects / edited by James R. Golden ... [et al.].</t>
  </si>
  <si>
    <t>1996-05-05</t>
  </si>
  <si>
    <t>836895067:eng</t>
  </si>
  <si>
    <t>19627393</t>
  </si>
  <si>
    <t>991001482109702656</t>
  </si>
  <si>
    <t>2266269270002656</t>
  </si>
  <si>
    <t>9780813309439</t>
  </si>
  <si>
    <t>32285000178391</t>
  </si>
  <si>
    <t>893615157</t>
  </si>
  <si>
    <t>D847 .A58 1975</t>
  </si>
  <si>
    <t>0                      D  0847000A  58          1975</t>
  </si>
  <si>
    <t>The Anatomy of Communist takeovers / edited by Thomas T. Hammond ; associate editor, Robert Farrell ; foreword by Cyril E. Black.</t>
  </si>
  <si>
    <t>New Haven : Yale University Press, 1975.</t>
  </si>
  <si>
    <t>1992-04-09</t>
  </si>
  <si>
    <t>347078253:eng</t>
  </si>
  <si>
    <t>1527355</t>
  </si>
  <si>
    <t>991003800649702656</t>
  </si>
  <si>
    <t>2257953220002656</t>
  </si>
  <si>
    <t>9780300017274</t>
  </si>
  <si>
    <t>32285000259050</t>
  </si>
  <si>
    <t>893900395</t>
  </si>
  <si>
    <t>D848 .A725 1993</t>
  </si>
  <si>
    <t>0                      D  0848000A  725         1993</t>
  </si>
  <si>
    <t>Breaking the ice : rapprochement between East and West Germany, the United States and China, and Israel and Egypt / Tony Armstrong.</t>
  </si>
  <si>
    <t>Armstrong, Tony, 1951-</t>
  </si>
  <si>
    <t>Washington, D.C. : United States Institute of Peace Press, 1993.</t>
  </si>
  <si>
    <t>1998-10-27</t>
  </si>
  <si>
    <t>1993-07-22</t>
  </si>
  <si>
    <t>5611592470:eng</t>
  </si>
  <si>
    <t>27813586</t>
  </si>
  <si>
    <t>991002160609702656</t>
  </si>
  <si>
    <t>2257698030002656</t>
  </si>
  <si>
    <t>9781878379269</t>
  </si>
  <si>
    <t>32285001703593</t>
  </si>
  <si>
    <t>893709938</t>
  </si>
  <si>
    <t>D848 .C23 1980</t>
  </si>
  <si>
    <t>0                      D  0848000C  23          1980</t>
  </si>
  <si>
    <t>60 Minutes verbatim : who said what to whom : the complete text of 114 stories with Mike Wallace, Morley Safer, Dan Rather, Harry Reasoner, and Andy Rooney / introd. by William A. Leonard.</t>
  </si>
  <si>
    <t>CBS News.</t>
  </si>
  <si>
    <t>New York : Arno Press : CBS News, c1980.</t>
  </si>
  <si>
    <t>477948:eng</t>
  </si>
  <si>
    <t>6579732</t>
  </si>
  <si>
    <t>991005007049702656</t>
  </si>
  <si>
    <t>2264199150002656</t>
  </si>
  <si>
    <t>9780405137235</t>
  </si>
  <si>
    <t>32285000259076</t>
  </si>
  <si>
    <t>893606701</t>
  </si>
  <si>
    <t>D848 .H33 1983</t>
  </si>
  <si>
    <t>0                      D  0848000H  33          1983</t>
  </si>
  <si>
    <t>The making of the second cold war / Fred Halliday.</t>
  </si>
  <si>
    <t>Halliday, Fred.</t>
  </si>
  <si>
    <t>London : Verso, 1983.</t>
  </si>
  <si>
    <t>1992-03-25</t>
  </si>
  <si>
    <t>22717880:eng</t>
  </si>
  <si>
    <t>9916497</t>
  </si>
  <si>
    <t>991000280279702656</t>
  </si>
  <si>
    <t>2261576610002656</t>
  </si>
  <si>
    <t>9780860910534</t>
  </si>
  <si>
    <t>32285000259084</t>
  </si>
  <si>
    <t>893865248</t>
  </si>
  <si>
    <t>D849 .C578</t>
  </si>
  <si>
    <t>0                      D  0849000C  578</t>
  </si>
  <si>
    <t>Present danger : towards a foreign policy / Robert Conquest.</t>
  </si>
  <si>
    <t>Conquest, Robert.</t>
  </si>
  <si>
    <t>Stanford, Calif. : Hoover Institution Press, c1979.</t>
  </si>
  <si>
    <t>Hoover Institution publication ; 216</t>
  </si>
  <si>
    <t>1994-11-02</t>
  </si>
  <si>
    <t>21453754:eng</t>
  </si>
  <si>
    <t>6223339</t>
  </si>
  <si>
    <t>991004948429702656</t>
  </si>
  <si>
    <t>2268498910002656</t>
  </si>
  <si>
    <t>9780817971618</t>
  </si>
  <si>
    <t>32285000259092</t>
  </si>
  <si>
    <t>893260355</t>
  </si>
  <si>
    <t>D849 .D78 1989</t>
  </si>
  <si>
    <t>0                      D  0849000D  78          1989</t>
  </si>
  <si>
    <t>The new realities : in government and politics, in economics and business, in society and world view / Peter F. Drucker.</t>
  </si>
  <si>
    <t>Drucker, Peter F. (Peter Ferdinand), 1909-2005.</t>
  </si>
  <si>
    <t>New York : Harper &amp; Row, c1989.</t>
  </si>
  <si>
    <t>1995-10-29</t>
  </si>
  <si>
    <t>890597056:eng</t>
  </si>
  <si>
    <t>19324288</t>
  </si>
  <si>
    <t>991001450419702656</t>
  </si>
  <si>
    <t>2268017420002656</t>
  </si>
  <si>
    <t>9780060161293</t>
  </si>
  <si>
    <t>32285000047653</t>
  </si>
  <si>
    <t>893602612</t>
  </si>
  <si>
    <t>D849 .K64 1986</t>
  </si>
  <si>
    <t>0                      D  0849000K  64          1986</t>
  </si>
  <si>
    <t>How foreign policy decisions are made in the Third World : a comparative approach / by Bahgat Korany, with contributors.</t>
  </si>
  <si>
    <t>Korany, Bahgat.</t>
  </si>
  <si>
    <t>Boulder : Westview Press, c1986.</t>
  </si>
  <si>
    <t>1992-09-11</t>
  </si>
  <si>
    <t>761202661:eng</t>
  </si>
  <si>
    <t>11754611</t>
  </si>
  <si>
    <t>991000582809702656</t>
  </si>
  <si>
    <t>2270204050002656</t>
  </si>
  <si>
    <t>9780813370460</t>
  </si>
  <si>
    <t>32285000047679</t>
  </si>
  <si>
    <t>893601874</t>
  </si>
  <si>
    <t>D849 .M542 1985</t>
  </si>
  <si>
    <t>0                      D  0849000M  542         1985</t>
  </si>
  <si>
    <t>Global order : values and power in international politics / Lynn H. Miller.</t>
  </si>
  <si>
    <t>Miller, Lynn H.</t>
  </si>
  <si>
    <t>Boulder : Westview Press, 1985.</t>
  </si>
  <si>
    <t>1998-09-21</t>
  </si>
  <si>
    <t>619645:eng</t>
  </si>
  <si>
    <t>11883023</t>
  </si>
  <si>
    <t>991000609009702656</t>
  </si>
  <si>
    <t>2270802530002656</t>
  </si>
  <si>
    <t>9780813300689</t>
  </si>
  <si>
    <t>32285000259126</t>
  </si>
  <si>
    <t>893432111</t>
  </si>
  <si>
    <t>D850 .G53 1990</t>
  </si>
  <si>
    <t>0                      D  0850000G  53          1990</t>
  </si>
  <si>
    <t>Glasnost, perestroika, and the socialist community / edited by Charles Bukowski and J. Richard Walsh.</t>
  </si>
  <si>
    <t>New York : Praeger, 1990.</t>
  </si>
  <si>
    <t>1999-07-23</t>
  </si>
  <si>
    <t>1991-05-17</t>
  </si>
  <si>
    <t>357229830:eng</t>
  </si>
  <si>
    <t>20355721</t>
  </si>
  <si>
    <t>991001567899702656</t>
  </si>
  <si>
    <t>2269358970002656</t>
  </si>
  <si>
    <t>9780275931308</t>
  </si>
  <si>
    <t>32285000573856</t>
  </si>
  <si>
    <t>893778870</t>
  </si>
  <si>
    <t>D856 .C53 2001</t>
  </si>
  <si>
    <t>0                      D  0856000C  53          2001</t>
  </si>
  <si>
    <t>The post-Cold War order : the spoils of peace / Ian Clark.</t>
  </si>
  <si>
    <t>Clark, Ian, 1949-</t>
  </si>
  <si>
    <t>Oxford ; New York : Oxford University Press, 2001.</t>
  </si>
  <si>
    <t>2002-05-09</t>
  </si>
  <si>
    <t>795362792:eng</t>
  </si>
  <si>
    <t>46694628</t>
  </si>
  <si>
    <t>991003633269702656</t>
  </si>
  <si>
    <t>2263143630002656</t>
  </si>
  <si>
    <t>9780198776338</t>
  </si>
  <si>
    <t>32285004419676</t>
  </si>
  <si>
    <t>893874981</t>
  </si>
  <si>
    <t>D860 .A39 2001</t>
  </si>
  <si>
    <t>0                      D  0860000A  39          2001</t>
  </si>
  <si>
    <t>After the fall : 1989 and the future of freedom / edited by George Katsiaficas.</t>
  </si>
  <si>
    <t>2003-04-30</t>
  </si>
  <si>
    <t>795302691:eng</t>
  </si>
  <si>
    <t>44720411</t>
  </si>
  <si>
    <t>991004018679702656</t>
  </si>
  <si>
    <t>2271616930002656</t>
  </si>
  <si>
    <t>9780415930246</t>
  </si>
  <si>
    <t>32285004744719</t>
  </si>
  <si>
    <t>893781758</t>
  </si>
  <si>
    <t>D860 .A88 1991</t>
  </si>
  <si>
    <t>0                      D  0860000A  88          1991</t>
  </si>
  <si>
    <t>Millennium : winners and losers in the coming world order / Jacques Attali ; translated from the French by Leila Conners and Nathan Gardels.</t>
  </si>
  <si>
    <t>Attali, Jacques.</t>
  </si>
  <si>
    <t>New York : Times Books, c1991.</t>
  </si>
  <si>
    <t>1992-05-02</t>
  </si>
  <si>
    <t>23236285:eng</t>
  </si>
  <si>
    <t>23357166</t>
  </si>
  <si>
    <t>991001859459702656</t>
  </si>
  <si>
    <t>2256992370002656</t>
  </si>
  <si>
    <t>9780812919134</t>
  </si>
  <si>
    <t>32285000936954</t>
  </si>
  <si>
    <t>893510011</t>
  </si>
  <si>
    <t>D860 .B79 1993</t>
  </si>
  <si>
    <t>0                      D  0860000B  79          1993</t>
  </si>
  <si>
    <t>Out of control : global turmoil on the eve of the twenty-first century / Zbigniew Brzezinski.</t>
  </si>
  <si>
    <t>New York : Scribner ; Toronto : Maxwell Macmillan Canada; New York : Maxwell Macmillan International, c1993.</t>
  </si>
  <si>
    <t>1993-11-22</t>
  </si>
  <si>
    <t>1993-09-13</t>
  </si>
  <si>
    <t>347291:eng</t>
  </si>
  <si>
    <t>27265454</t>
  </si>
  <si>
    <t>991002128079702656</t>
  </si>
  <si>
    <t>2269504370002656</t>
  </si>
  <si>
    <t>9780684196305</t>
  </si>
  <si>
    <t>32285001758530</t>
  </si>
  <si>
    <t>893590946</t>
  </si>
  <si>
    <t>D860 .B89 1998</t>
  </si>
  <si>
    <t>0                      D  0860000B  89          1998</t>
  </si>
  <si>
    <t>The arms dynamic in world politics / Barry Buzan &amp; Eric Herring.</t>
  </si>
  <si>
    <t>Buzan, Barry.</t>
  </si>
  <si>
    <t>Boulder : Lynne Rienner, 1998.</t>
  </si>
  <si>
    <t>2003-11-05</t>
  </si>
  <si>
    <t>666090:eng</t>
  </si>
  <si>
    <t>37976007</t>
  </si>
  <si>
    <t>991002881529702656</t>
  </si>
  <si>
    <t>2261721820002656</t>
  </si>
  <si>
    <t>9781555875732</t>
  </si>
  <si>
    <t>32285003472114</t>
  </si>
  <si>
    <t>893245765</t>
  </si>
  <si>
    <t>D860 .C47 1994</t>
  </si>
  <si>
    <t>0                      D  0860000C  47          1994</t>
  </si>
  <si>
    <t>World orders, old and new / Noam Chomsky.</t>
  </si>
  <si>
    <t>Chomsky, Noam.</t>
  </si>
  <si>
    <t>New York : Columbia University Press, c1994.</t>
  </si>
  <si>
    <t>1995-03-19</t>
  </si>
  <si>
    <t>1062515:eng</t>
  </si>
  <si>
    <t>30665547</t>
  </si>
  <si>
    <t>991002356189702656</t>
  </si>
  <si>
    <t>2266855200002656</t>
  </si>
  <si>
    <t>9780231101561</t>
  </si>
  <si>
    <t>32285002002904</t>
  </si>
  <si>
    <t>893786040</t>
  </si>
  <si>
    <t>D860 .D58 1992</t>
  </si>
  <si>
    <t>0                      D  0860000D  58          1992</t>
  </si>
  <si>
    <t>Dismantling communism : common causes and regional variations / edited by Gilbert Rozman with Seizaburo Sato and Gerald Segal.</t>
  </si>
  <si>
    <t>Washington, D.C. : Woodrow Wilson Center Press ; Baltimore : Johns Hopkins University Press, 1992.</t>
  </si>
  <si>
    <t>2002-12-06</t>
  </si>
  <si>
    <t>1993-09-22</t>
  </si>
  <si>
    <t>890419593:eng</t>
  </si>
  <si>
    <t>25872863</t>
  </si>
  <si>
    <t>991002031749702656</t>
  </si>
  <si>
    <t>2270800360002656</t>
  </si>
  <si>
    <t>9780943875354</t>
  </si>
  <si>
    <t>32285001767150</t>
  </si>
  <si>
    <t>893322485</t>
  </si>
  <si>
    <t>D860 .D63 2005</t>
  </si>
  <si>
    <t>0                      D  0860000D  63          2005</t>
  </si>
  <si>
    <t>The end of the Cold War era : the transformation of the global security order / Saki Ruth Dockrill.</t>
  </si>
  <si>
    <t>Dockrill, Saki.</t>
  </si>
  <si>
    <t>London : Hodder Arnold ; New York : Distributed in the United States of America by Oxford University Press, 2005.</t>
  </si>
  <si>
    <t>2006-01-10</t>
  </si>
  <si>
    <t>891697051:eng</t>
  </si>
  <si>
    <t>60667883</t>
  </si>
  <si>
    <t>991004675979702656</t>
  </si>
  <si>
    <t>2266440130002656</t>
  </si>
  <si>
    <t>9780340740323</t>
  </si>
  <si>
    <t>32285005154447</t>
  </si>
  <si>
    <t>893776301</t>
  </si>
  <si>
    <t>D860 .E76 1994</t>
  </si>
  <si>
    <t>0                      D  0860000E  76          1994</t>
  </si>
  <si>
    <t>Ethnic and religious conflicts : Europe and Asia / edited by Peter Janke.</t>
  </si>
  <si>
    <t>Aldershot, Hants, England ; Brookfield, Vt., USA : Dartmouth, c1994.</t>
  </si>
  <si>
    <t>2001-02-25</t>
  </si>
  <si>
    <t>1995-01-17</t>
  </si>
  <si>
    <t>836867327:eng</t>
  </si>
  <si>
    <t>30354314</t>
  </si>
  <si>
    <t>991002331659702656</t>
  </si>
  <si>
    <t>2257599040002656</t>
  </si>
  <si>
    <t>9781855215405</t>
  </si>
  <si>
    <t>32285001993384</t>
  </si>
  <si>
    <t>893262226</t>
  </si>
  <si>
    <t>D860 .E93 1999</t>
  </si>
  <si>
    <t>0                      D  0860000E  93          1999</t>
  </si>
  <si>
    <t>Unarmed forces : the transnational movement to end the Cold War / Matthew Evangelista.</t>
  </si>
  <si>
    <t>Evangelista, Matthew, 1958-</t>
  </si>
  <si>
    <t>Ithaca, NY : Cornell University Press, 1999.</t>
  </si>
  <si>
    <t>26088631:eng</t>
  </si>
  <si>
    <t>40396370</t>
  </si>
  <si>
    <t>991003354019702656</t>
  </si>
  <si>
    <t>2269767370002656</t>
  </si>
  <si>
    <t>9780801436284</t>
  </si>
  <si>
    <t>32285004292339</t>
  </si>
  <si>
    <t>893598514</t>
  </si>
  <si>
    <t>D860 .G75 1997</t>
  </si>
  <si>
    <t>0                      D  0860000G  75          1997</t>
  </si>
  <si>
    <t>Postmodern war : the new politics of conflict / Chris Hables Gray.</t>
  </si>
  <si>
    <t>Gray, Chris Hables.</t>
  </si>
  <si>
    <t>New York : Guilford Press, c1997.</t>
  </si>
  <si>
    <t>Critical perspectives</t>
  </si>
  <si>
    <t>1998-02-25</t>
  </si>
  <si>
    <t>836992461:eng</t>
  </si>
  <si>
    <t>36225431</t>
  </si>
  <si>
    <t>991002761909702656</t>
  </si>
  <si>
    <t>2272581000002656</t>
  </si>
  <si>
    <t>9781572301603</t>
  </si>
  <si>
    <t>32285003355491</t>
  </si>
  <si>
    <t>893511161</t>
  </si>
  <si>
    <t>D860 .L355 2002</t>
  </si>
  <si>
    <t>0                      D  0860000L  355         2002</t>
  </si>
  <si>
    <t>All for one : terrorism, NATO and the United States / Tom Lansford.</t>
  </si>
  <si>
    <t>Lansford, Tom.</t>
  </si>
  <si>
    <t>Burlington, VT. : Ashgate, c2002.</t>
  </si>
  <si>
    <t>2005-05-02</t>
  </si>
  <si>
    <t>2003-07-01</t>
  </si>
  <si>
    <t>799001524:eng</t>
  </si>
  <si>
    <t>49415640</t>
  </si>
  <si>
    <t>991004060609702656</t>
  </si>
  <si>
    <t>2261196130002656</t>
  </si>
  <si>
    <t>9780754630456</t>
  </si>
  <si>
    <t>32285004754908</t>
  </si>
  <si>
    <t>893627961</t>
  </si>
  <si>
    <t>D860 .M69 1993</t>
  </si>
  <si>
    <t>0                      D  0860000M  69          1993</t>
  </si>
  <si>
    <t>Pandaemonium : ethnicity in international politics / Daniel Patrick Moynihan.</t>
  </si>
  <si>
    <t>Moynihan, Daniel P. (Daniel Patrick), 1927-2003.</t>
  </si>
  <si>
    <t>Oxford ; New York : Oxford University Press, 1993.</t>
  </si>
  <si>
    <t>1994-01-06</t>
  </si>
  <si>
    <t>807217396:eng</t>
  </si>
  <si>
    <t>27171748</t>
  </si>
  <si>
    <t>991002119319702656</t>
  </si>
  <si>
    <t>2272583330002656</t>
  </si>
  <si>
    <t>9780198277873</t>
  </si>
  <si>
    <t>32285001803906</t>
  </si>
  <si>
    <t>893779447</t>
  </si>
  <si>
    <t>D860 .R3613 2004</t>
  </si>
  <si>
    <t>0                      D  0860000R  3613        2004</t>
  </si>
  <si>
    <t>Wars of the 21st century : new threats, new fears / Ignacio Ramonet ; translated by Julie Flanagan.</t>
  </si>
  <si>
    <t>Ramonet, Ignacio.</t>
  </si>
  <si>
    <t>Melbourne ; New York : Ocean Press, c2004.</t>
  </si>
  <si>
    <t>2004-07-19</t>
  </si>
  <si>
    <t>1808022647:eng</t>
  </si>
  <si>
    <t>54544585</t>
  </si>
  <si>
    <t>991004312389702656</t>
  </si>
  <si>
    <t>2257828140002656</t>
  </si>
  <si>
    <t>9781876175962</t>
  </si>
  <si>
    <t>32285004923446</t>
  </si>
  <si>
    <t>893259580</t>
  </si>
  <si>
    <t>D860 .S66 1991</t>
  </si>
  <si>
    <t>0                      D  0860000S  66          1991</t>
  </si>
  <si>
    <t>The shape of the future : the post-cold war world / Donald M. Snow.</t>
  </si>
  <si>
    <t>Snow, Donald M., 1943-</t>
  </si>
  <si>
    <t>Armonk, N.Y. : M.E. Sharpe, c1991.</t>
  </si>
  <si>
    <t>20638068:eng</t>
  </si>
  <si>
    <t>23220791</t>
  </si>
  <si>
    <t>991001851109702656</t>
  </si>
  <si>
    <t>2266095320002656</t>
  </si>
  <si>
    <t>9780873328654</t>
  </si>
  <si>
    <t>32285001036531</t>
  </si>
  <si>
    <t>893609191</t>
  </si>
  <si>
    <t>D860 .S75 1998</t>
  </si>
  <si>
    <t>0                      D  0860000S  75          1998</t>
  </si>
  <si>
    <t>Statecraft and security : the Cold War and beyond / edited by Ken Booth.</t>
  </si>
  <si>
    <t>Cambridge, UK ; New York : Cambridge University Press, 1998.</t>
  </si>
  <si>
    <t>1999-08-25</t>
  </si>
  <si>
    <t>837010965:eng</t>
  </si>
  <si>
    <t>37761900</t>
  </si>
  <si>
    <t>991002865029702656</t>
  </si>
  <si>
    <t>2272401620002656</t>
  </si>
  <si>
    <t>9780521474535</t>
  </si>
  <si>
    <t>32285003584215</t>
  </si>
  <si>
    <t>893622842</t>
  </si>
  <si>
    <t>D860 .Z42 1996</t>
  </si>
  <si>
    <t>0                      D  0860000Z  42          1996</t>
  </si>
  <si>
    <t>Fin del siglo XX : centuria perdida? / Leopoldo Zea.</t>
  </si>
  <si>
    <t>Zea, Leopoldo, 1912-2004.</t>
  </si>
  <si>
    <t>México, D.F. : Fondo de Cultura Económica, 1996.</t>
  </si>
  <si>
    <t>1. ed.</t>
  </si>
  <si>
    <t xml:space="preserve">mx </t>
  </si>
  <si>
    <t>Colección Tierra firme</t>
  </si>
  <si>
    <t>2004-09-15</t>
  </si>
  <si>
    <t>1998-09-03</t>
  </si>
  <si>
    <t>138856147:spa</t>
  </si>
  <si>
    <t>36807059</t>
  </si>
  <si>
    <t>991002802049702656</t>
  </si>
  <si>
    <t>2260967660002656</t>
  </si>
  <si>
    <t>9789681648534</t>
  </si>
  <si>
    <t>32285003465647</t>
  </si>
  <si>
    <t>893409561</t>
  </si>
  <si>
    <t>D883 .M67 2001</t>
  </si>
  <si>
    <t>0                      D  0883000M  67          2001</t>
  </si>
  <si>
    <t>Wars of national liberation / Daniel Moran ; general editor, John Keegan.</t>
  </si>
  <si>
    <t>Moran, Daniel.</t>
  </si>
  <si>
    <t>London : Cassell, 2001.</t>
  </si>
  <si>
    <t>[Cassell's history of warfare]</t>
  </si>
  <si>
    <t>2002-08-08</t>
  </si>
  <si>
    <t>2002-07-30</t>
  </si>
  <si>
    <t>8662368:eng</t>
  </si>
  <si>
    <t>48154245</t>
  </si>
  <si>
    <t>991003842819702656</t>
  </si>
  <si>
    <t>2270338370002656</t>
  </si>
  <si>
    <t>9780304352722</t>
  </si>
  <si>
    <t>32285004641196</t>
  </si>
  <si>
    <t>893525301</t>
  </si>
  <si>
    <t>D887 .S87 1990</t>
  </si>
  <si>
    <t>0                      D  0887000S  87          1990</t>
  </si>
  <si>
    <t>Superpower competition and crisis prevention in the Third World / edited by Roy Allison and Phil Williams.</t>
  </si>
  <si>
    <t>Cambridge ; New York : Cambridge University Press, 1990.</t>
  </si>
  <si>
    <t>Ford/Southampton studies in North/South security relations</t>
  </si>
  <si>
    <t>1996-02-23</t>
  </si>
  <si>
    <t>350194614:eng</t>
  </si>
  <si>
    <t>19511390</t>
  </si>
  <si>
    <t>991001465719702656</t>
  </si>
  <si>
    <t>2258996980002656</t>
  </si>
  <si>
    <t>9780521362801</t>
  </si>
  <si>
    <t>32285000937366</t>
  </si>
  <si>
    <t>893328149</t>
  </si>
  <si>
    <t>D888.S65 P36 1985</t>
  </si>
  <si>
    <t>0                      D  0888000S  65                 P  36          1985</t>
  </si>
  <si>
    <t>Soviet perceptions of the developing world in the 1980s : the ideological basis / Daniel S. Papp.</t>
  </si>
  <si>
    <t>Papp, Daniel S., 1947-</t>
  </si>
  <si>
    <t>Lexington, Mass. : Lexington Books, c1985.</t>
  </si>
  <si>
    <t>4885580:eng</t>
  </si>
  <si>
    <t>12160839</t>
  </si>
  <si>
    <t>991000649369702656</t>
  </si>
  <si>
    <t>2271236770002656</t>
  </si>
  <si>
    <t>9780669101669</t>
  </si>
  <si>
    <t>32285000047703</t>
  </si>
  <si>
    <t>893897081</t>
  </si>
  <si>
    <t>D888.S65 S63 1989</t>
  </si>
  <si>
    <t>0                      D  0888000S  65                 S  63          1989</t>
  </si>
  <si>
    <t>The Soviet bloc and the Third World : the political economy of East-South relations / edited by Brigitte H. Schulz and William W. Hansen.</t>
  </si>
  <si>
    <t>Westview special studies on the Soviet Union and Eastern Europe</t>
  </si>
  <si>
    <t>1991-04-03</t>
  </si>
  <si>
    <t>836863394:eng</t>
  </si>
  <si>
    <t>19322126</t>
  </si>
  <si>
    <t>991000035709702656</t>
  </si>
  <si>
    <t>2266958910002656</t>
  </si>
  <si>
    <t>9780813375137</t>
  </si>
  <si>
    <t>32285000514520</t>
  </si>
  <si>
    <t>893431616</t>
  </si>
  <si>
    <t>D888.U6 A57 1985</t>
  </si>
  <si>
    <t>0                      D  0888000U  6                  A  57          1985</t>
  </si>
  <si>
    <t>Anti-Americanism in the Third World : implications for U.S. foreign policy / edited by Alvin Z. Rubinstein and Donald E. Smith.</t>
  </si>
  <si>
    <t>New York : Praeger, 1985.</t>
  </si>
  <si>
    <t>Foreign policy issues</t>
  </si>
  <si>
    <t>833645628:eng</t>
  </si>
  <si>
    <t>11187220</t>
  </si>
  <si>
    <t>991000502229702656</t>
  </si>
  <si>
    <t>2263390740002656</t>
  </si>
  <si>
    <t>9780030019623</t>
  </si>
  <si>
    <t>32285000259209</t>
  </si>
  <si>
    <t>893890746</t>
  </si>
  <si>
    <t>D888.U6 B73 1989</t>
  </si>
  <si>
    <t>0                      D  0888000U  6                  B  73          1989</t>
  </si>
  <si>
    <t>The specter of neutralism : the United States and the emergence of the Third World, 1947-1960 / H.W. Brands.</t>
  </si>
  <si>
    <t>Brands, H. W.</t>
  </si>
  <si>
    <t>New York : Columbia University Press, c1989.</t>
  </si>
  <si>
    <t>Columbia studies in contemporary American history</t>
  </si>
  <si>
    <t>1998-04-09</t>
  </si>
  <si>
    <t>1997-06-05</t>
  </si>
  <si>
    <t>1061778:eng</t>
  </si>
  <si>
    <t>20420066</t>
  </si>
  <si>
    <t>991001574329702656</t>
  </si>
  <si>
    <t>2268111630002656</t>
  </si>
  <si>
    <t>9780231071680</t>
  </si>
  <si>
    <t>32285002614708</t>
  </si>
  <si>
    <t>893803683</t>
  </si>
  <si>
    <t>D888.U6 G87 1984</t>
  </si>
  <si>
    <t>0                      D  0888000U  6                  G  87          1984</t>
  </si>
  <si>
    <t>The roots of failure : United States policy in the Third World / Melvin Gurtov, Ray Maghroori.</t>
  </si>
  <si>
    <t>Gurtov, Melvin.</t>
  </si>
  <si>
    <t>Westport, Conn. : Greenwood Press, 1984.</t>
  </si>
  <si>
    <t>Contributions in political science, 0147-1066 ; no. 108</t>
  </si>
  <si>
    <t>836666516:eng</t>
  </si>
  <si>
    <t>10780272</t>
  </si>
  <si>
    <t>991000433139702656</t>
  </si>
  <si>
    <t>2255304500002656</t>
  </si>
  <si>
    <t>9780313245619</t>
  </si>
  <si>
    <t>32285000259225</t>
  </si>
  <si>
    <t>893255417</t>
  </si>
  <si>
    <t>D888.U6 H35 1990</t>
  </si>
  <si>
    <t>0                      D  0888000U  6                  H  35          1990</t>
  </si>
  <si>
    <t>Entangling alliances : how the Third World shapes our lives / John Maxwell Hamilton, with Nancy Morrison and contributions from Erlinda Bolido ... [et al.].</t>
  </si>
  <si>
    <t>Hamilton, John Maxwell.</t>
  </si>
  <si>
    <t>Washington, DC : Seven Locks Press, 1990.</t>
  </si>
  <si>
    <t>1993-01-21</t>
  </si>
  <si>
    <t>341379366:eng</t>
  </si>
  <si>
    <t>20694061</t>
  </si>
  <si>
    <t>991001606719702656</t>
  </si>
  <si>
    <t>2257077670002656</t>
  </si>
  <si>
    <t>9780932020833</t>
  </si>
  <si>
    <t>32285001447100</t>
  </si>
  <si>
    <t>893703123</t>
  </si>
  <si>
    <t>D888.U6 I49 1989</t>
  </si>
  <si>
    <t>0                      D  0888000U  6                  I  49          1989</t>
  </si>
  <si>
    <t>Intervention in the 1980s : U.S. foreign policy in the Third World / edited by Peter J. Schraeder.</t>
  </si>
  <si>
    <t>Boulder, Colo. : L. Rienner, c1989.</t>
  </si>
  <si>
    <t>836748874:eng</t>
  </si>
  <si>
    <t>18814730</t>
  </si>
  <si>
    <t>991001398669702656</t>
  </si>
  <si>
    <t>2262529410002656</t>
  </si>
  <si>
    <t>9781555870713</t>
  </si>
  <si>
    <t>32285001036564</t>
  </si>
  <si>
    <t>893878866</t>
  </si>
  <si>
    <t>D888.U6 T46 1986</t>
  </si>
  <si>
    <t>0                      D  0888000U  6                  T  46          1986</t>
  </si>
  <si>
    <t>The challenge to U.S. policy in the Third World : global responsibilities and regional devolution / Thomas Perry Thornton.</t>
  </si>
  <si>
    <t>Thornton, Thomas Perry.</t>
  </si>
  <si>
    <t>Boulder : Westview Press with the Foreign Policy Institute, School of Advanced International Studies, Johns Hopkins University, 1986.</t>
  </si>
  <si>
    <t>A Westview Press/Foreign Policy Institute ed.</t>
  </si>
  <si>
    <t>SAIS papers in international affairs ; no. 10</t>
  </si>
  <si>
    <t>7471199:eng</t>
  </si>
  <si>
    <t>13580371</t>
  </si>
  <si>
    <t>991000848229702656</t>
  </si>
  <si>
    <t>2258004030002656</t>
  </si>
  <si>
    <t>9780813370767</t>
  </si>
  <si>
    <t>32285000047745</t>
  </si>
  <si>
    <t>893772031</t>
  </si>
  <si>
    <t>D90.G4 L4 1967</t>
  </si>
  <si>
    <t>0                      D  0090000G  4                  L  4           1967</t>
  </si>
  <si>
    <t>The Geats of Beowulf; a study in the geographical mythology of the Middle Ages.</t>
  </si>
  <si>
    <t>Leake, Jane Acomb.</t>
  </si>
  <si>
    <t>Madison, University of Wisconsin Press, 1967.</t>
  </si>
  <si>
    <t>1996-10-14</t>
  </si>
  <si>
    <t>432030963:eng</t>
  </si>
  <si>
    <t>953220</t>
  </si>
  <si>
    <t>991003414669702656</t>
  </si>
  <si>
    <t>2260970460002656</t>
  </si>
  <si>
    <t>32285002297454</t>
  </si>
  <si>
    <t>893342538</t>
  </si>
  <si>
    <t>D919 .F219 1991</t>
  </si>
  <si>
    <t>0                      D  0919000F  219         1991</t>
  </si>
  <si>
    <t>Curiosity perfectly satisfyed : Faraday's travels in Europe 1813-1815 / edited by Brian Bowers and Lenore Symons.</t>
  </si>
  <si>
    <t>Faraday, Michael, 1791-1867.</t>
  </si>
  <si>
    <t>London : Peter Peregrinus in association with the Science Museum, c1991.</t>
  </si>
  <si>
    <t>History of technology series ; 16</t>
  </si>
  <si>
    <t>1992-10-07</t>
  </si>
  <si>
    <t>141670029:eng</t>
  </si>
  <si>
    <t>27072675</t>
  </si>
  <si>
    <t>991001966869702656</t>
  </si>
  <si>
    <t>2267838400002656</t>
  </si>
  <si>
    <t>9780863412349</t>
  </si>
  <si>
    <t>32285001315943</t>
  </si>
  <si>
    <t>893503868</t>
  </si>
  <si>
    <t>D973 .P394 2002</t>
  </si>
  <si>
    <t>0                      D  0973000P  394         2002</t>
  </si>
  <si>
    <t>Route 66 A.D. : on the trail of ancient Roman tourists / Tony Perrottet.</t>
  </si>
  <si>
    <t>Perrottet, Tony.</t>
  </si>
  <si>
    <t>New York : Random House, c2002.</t>
  </si>
  <si>
    <t>2002-06-20</t>
  </si>
  <si>
    <t>2002-06-04</t>
  </si>
  <si>
    <t>9166601:eng</t>
  </si>
  <si>
    <t>48053822</t>
  </si>
  <si>
    <t>991003800019702656</t>
  </si>
  <si>
    <t>2268472230002656</t>
  </si>
  <si>
    <t>9780375504327</t>
  </si>
  <si>
    <t>32285004490966</t>
  </si>
  <si>
    <t>893894180</t>
  </si>
  <si>
    <t>D990 .E87 1992</t>
  </si>
  <si>
    <t>0                      D  0990000E  87          1992</t>
  </si>
  <si>
    <t>Ethnic identity in urban Europe / edited by Max Engman in collaboration with Francis W. Carter, A.C. Hepburn, and Colin G. Pooley.</t>
  </si>
  <si>
    <t>[Strasbourg] : European Science Foundation ; New York, NY : New York University Press ; Aldershot, Hants, England : Dartmouth Pub. Co., c1992.</t>
  </si>
  <si>
    <t>Comparative studies on governments and non-dominant ethnic groups in Europe, 1850-1940 ; v. 8</t>
  </si>
  <si>
    <t>2000-09-28</t>
  </si>
  <si>
    <t>1993-01-05</t>
  </si>
  <si>
    <t>23204877:eng</t>
  </si>
  <si>
    <t>21969561</t>
  </si>
  <si>
    <t>991001735019702656</t>
  </si>
  <si>
    <t>2255383980002656</t>
  </si>
  <si>
    <t>9781855211285</t>
  </si>
  <si>
    <t>32285001404523</t>
  </si>
  <si>
    <t>893334527</t>
  </si>
  <si>
    <t>The era of the Protestant revolution, by Frederic Seebohm ...</t>
  </si>
  <si>
    <t>Seebohm, Frederic, 1833-1912.</t>
  </si>
  <si>
    <t>New York, C. Scribner's sons, 1903</t>
  </si>
  <si>
    <t>1903</t>
  </si>
  <si>
    <t>2d ed. with notes on books in English relating to the reformation, by Geo. P. Fisher ...</t>
  </si>
  <si>
    <t>1994-09-16</t>
  </si>
  <si>
    <t>474794:eng</t>
  </si>
  <si>
    <t>6512859</t>
  </si>
  <si>
    <t>991004995649702656</t>
  </si>
  <si>
    <t>2258860440002656</t>
  </si>
  <si>
    <t>32285001369890</t>
  </si>
  <si>
    <t>893353634</t>
  </si>
  <si>
    <t>Keep in Collection?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</si>
</sst>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0" fillId="0" borderId="0" xfId="0" applyProtection="1">
      <protection locked="0"/>
    </xf>
    <xf numFmtId="0" fontId="1" fillId="2" borderId="0" xfId="0" applyFont="1" applyFill="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EF7C5-BC06-44E4-B4D0-8009E98F1D6D}">
  <dimension ref="A1:BD1183"/>
  <sheetViews>
    <sheetView tabSelected="1" workbookViewId="0">
      <pane ySplit="1" topLeftCell="A2" activePane="bottomLeft" state="frozen"/>
      <selection pane="bottomLeft" activeCell="L2" sqref="L2"/>
    </sheetView>
  </sheetViews>
  <sheetFormatPr defaultRowHeight="44.25" customHeight="1" x14ac:dyDescent="0.25"/>
  <cols>
    <col min="1" max="2" width="18" customWidth="1"/>
    <col min="3" max="3" width="0" hidden="1" customWidth="1"/>
    <col min="4" max="4" width="35.7109375" customWidth="1"/>
    <col min="6" max="10" width="0" hidden="1" customWidth="1"/>
    <col min="11" max="11" width="19.85546875" customWidth="1"/>
    <col min="12" max="12" width="18.28515625" customWidth="1"/>
    <col min="14" max="17" width="0" hidden="1" customWidth="1"/>
    <col min="20" max="26" width="0" hidden="1" customWidth="1"/>
    <col min="28" max="28" width="0" hidden="1" customWidth="1"/>
    <col min="30" max="30" width="0" hidden="1" customWidth="1"/>
    <col min="32" max="41" width="0" hidden="1" customWidth="1"/>
    <col min="42" max="42" width="11" customWidth="1"/>
    <col min="43" max="43" width="10.42578125" customWidth="1"/>
    <col min="44" max="44" width="10.28515625" customWidth="1"/>
    <col min="47" max="56" width="0" hidden="1" customWidth="1"/>
  </cols>
  <sheetData>
    <row r="1" spans="1:56" ht="44.25" customHeight="1" x14ac:dyDescent="0.25">
      <c r="A1" s="8" t="s">
        <v>13586</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row>
    <row r="2" spans="1:56" ht="44.25" customHeight="1" x14ac:dyDescent="0.25">
      <c r="A2" s="7" t="s">
        <v>61</v>
      </c>
      <c r="B2" s="2" t="s">
        <v>55</v>
      </c>
      <c r="C2" s="2" t="s">
        <v>56</v>
      </c>
      <c r="D2" s="2" t="s">
        <v>57</v>
      </c>
      <c r="E2" s="3" t="s">
        <v>58</v>
      </c>
      <c r="F2" s="3" t="s">
        <v>59</v>
      </c>
      <c r="G2" s="3" t="s">
        <v>60</v>
      </c>
      <c r="H2" s="3" t="s">
        <v>61</v>
      </c>
      <c r="I2" s="3" t="s">
        <v>61</v>
      </c>
      <c r="J2" s="3" t="s">
        <v>62</v>
      </c>
      <c r="K2" s="2" t="s">
        <v>63</v>
      </c>
      <c r="L2" s="2" t="s">
        <v>64</v>
      </c>
      <c r="M2" s="3" t="s">
        <v>65</v>
      </c>
      <c r="O2" s="3" t="s">
        <v>66</v>
      </c>
      <c r="P2" s="3" t="s">
        <v>67</v>
      </c>
      <c r="R2" s="3" t="s">
        <v>68</v>
      </c>
      <c r="S2" s="4">
        <v>0</v>
      </c>
      <c r="T2" s="4">
        <v>2</v>
      </c>
      <c r="V2" s="5" t="s">
        <v>69</v>
      </c>
      <c r="W2" s="5" t="s">
        <v>70</v>
      </c>
      <c r="X2" s="5" t="s">
        <v>70</v>
      </c>
      <c r="Y2" s="4">
        <v>106</v>
      </c>
      <c r="Z2" s="4">
        <v>78</v>
      </c>
      <c r="AA2" s="4">
        <v>122</v>
      </c>
      <c r="AB2" s="4">
        <v>1</v>
      </c>
      <c r="AC2" s="4">
        <v>1</v>
      </c>
      <c r="AD2" s="4">
        <v>4</v>
      </c>
      <c r="AE2" s="4">
        <v>10</v>
      </c>
      <c r="AF2" s="4">
        <v>2</v>
      </c>
      <c r="AG2" s="4">
        <v>2</v>
      </c>
      <c r="AH2" s="4">
        <v>1</v>
      </c>
      <c r="AI2" s="4">
        <v>2</v>
      </c>
      <c r="AJ2" s="4">
        <v>1</v>
      </c>
      <c r="AK2" s="4">
        <v>6</v>
      </c>
      <c r="AL2" s="4">
        <v>0</v>
      </c>
      <c r="AM2" s="4">
        <v>0</v>
      </c>
      <c r="AN2" s="4">
        <v>0</v>
      </c>
      <c r="AO2" s="4">
        <v>0</v>
      </c>
      <c r="AP2" s="3" t="s">
        <v>59</v>
      </c>
      <c r="AQ2" s="3" t="s">
        <v>61</v>
      </c>
      <c r="AR2" s="6" t="str">
        <f t="shared" ref="AR2:AR12" si="0">HYPERLINK("http://catalog.hathitrust.org/Record/008981704","HathiTrust Record")</f>
        <v>HathiTrust Record</v>
      </c>
      <c r="AS2" s="6" t="str">
        <f t="shared" ref="AS2:AS12" si="1">HYPERLINK("https://creighton-primo.hosted.exlibrisgroup.com/primo-explore/search?tab=default_tab&amp;search_scope=EVERYTHING&amp;vid=01CRU&amp;lang=en_US&amp;offset=0&amp;query=any,contains,991003799839702656","Catalog Record")</f>
        <v>Catalog Record</v>
      </c>
      <c r="AT2" s="6" t="str">
        <f t="shared" ref="AT2:AT12" si="2">HYPERLINK("http://www.worldcat.org/oclc/1526210","WorldCat Record")</f>
        <v>WorldCat Record</v>
      </c>
      <c r="AU2" s="3" t="s">
        <v>71</v>
      </c>
      <c r="AV2" s="3" t="s">
        <v>72</v>
      </c>
      <c r="AW2" s="3" t="s">
        <v>73</v>
      </c>
      <c r="AX2" s="3" t="s">
        <v>73</v>
      </c>
      <c r="AY2" s="3" t="s">
        <v>74</v>
      </c>
      <c r="AZ2" s="3" t="s">
        <v>75</v>
      </c>
      <c r="BC2" s="3" t="s">
        <v>76</v>
      </c>
      <c r="BD2" s="3" t="s">
        <v>77</v>
      </c>
    </row>
    <row r="3" spans="1:56" ht="44.25" customHeight="1" x14ac:dyDescent="0.25">
      <c r="A3" s="7" t="s">
        <v>61</v>
      </c>
      <c r="B3" s="2" t="s">
        <v>55</v>
      </c>
      <c r="C3" s="2" t="s">
        <v>56</v>
      </c>
      <c r="D3" s="2" t="s">
        <v>57</v>
      </c>
      <c r="E3" s="3" t="s">
        <v>78</v>
      </c>
      <c r="F3" s="3" t="s">
        <v>59</v>
      </c>
      <c r="G3" s="3" t="s">
        <v>60</v>
      </c>
      <c r="H3" s="3" t="s">
        <v>61</v>
      </c>
      <c r="I3" s="3" t="s">
        <v>61</v>
      </c>
      <c r="J3" s="3" t="s">
        <v>62</v>
      </c>
      <c r="K3" s="2" t="s">
        <v>63</v>
      </c>
      <c r="L3" s="2" t="s">
        <v>64</v>
      </c>
      <c r="M3" s="3" t="s">
        <v>65</v>
      </c>
      <c r="O3" s="3" t="s">
        <v>66</v>
      </c>
      <c r="P3" s="3" t="s">
        <v>67</v>
      </c>
      <c r="R3" s="3" t="s">
        <v>68</v>
      </c>
      <c r="S3" s="4">
        <v>0</v>
      </c>
      <c r="T3" s="4">
        <v>2</v>
      </c>
      <c r="V3" s="5" t="s">
        <v>69</v>
      </c>
      <c r="W3" s="5" t="s">
        <v>70</v>
      </c>
      <c r="X3" s="5" t="s">
        <v>70</v>
      </c>
      <c r="Y3" s="4">
        <v>106</v>
      </c>
      <c r="Z3" s="4">
        <v>78</v>
      </c>
      <c r="AA3" s="4">
        <v>122</v>
      </c>
      <c r="AB3" s="4">
        <v>1</v>
      </c>
      <c r="AC3" s="4">
        <v>1</v>
      </c>
      <c r="AD3" s="4">
        <v>4</v>
      </c>
      <c r="AE3" s="4">
        <v>10</v>
      </c>
      <c r="AF3" s="4">
        <v>2</v>
      </c>
      <c r="AG3" s="4">
        <v>2</v>
      </c>
      <c r="AH3" s="4">
        <v>1</v>
      </c>
      <c r="AI3" s="4">
        <v>2</v>
      </c>
      <c r="AJ3" s="4">
        <v>1</v>
      </c>
      <c r="AK3" s="4">
        <v>6</v>
      </c>
      <c r="AL3" s="4">
        <v>0</v>
      </c>
      <c r="AM3" s="4">
        <v>0</v>
      </c>
      <c r="AN3" s="4">
        <v>0</v>
      </c>
      <c r="AO3" s="4">
        <v>0</v>
      </c>
      <c r="AP3" s="3" t="s">
        <v>59</v>
      </c>
      <c r="AQ3" s="3" t="s">
        <v>61</v>
      </c>
      <c r="AR3" s="6" t="str">
        <f t="shared" si="0"/>
        <v>HathiTrust Record</v>
      </c>
      <c r="AS3" s="6" t="str">
        <f t="shared" si="1"/>
        <v>Catalog Record</v>
      </c>
      <c r="AT3" s="6" t="str">
        <f t="shared" si="2"/>
        <v>WorldCat Record</v>
      </c>
      <c r="AU3" s="3" t="s">
        <v>71</v>
      </c>
      <c r="AV3" s="3" t="s">
        <v>72</v>
      </c>
      <c r="AW3" s="3" t="s">
        <v>73</v>
      </c>
      <c r="AX3" s="3" t="s">
        <v>73</v>
      </c>
      <c r="AY3" s="3" t="s">
        <v>74</v>
      </c>
      <c r="AZ3" s="3" t="s">
        <v>75</v>
      </c>
      <c r="BC3" s="3" t="s">
        <v>79</v>
      </c>
      <c r="BD3" s="3" t="s">
        <v>80</v>
      </c>
    </row>
    <row r="4" spans="1:56" ht="44.25" customHeight="1" x14ac:dyDescent="0.25">
      <c r="A4" s="7" t="s">
        <v>61</v>
      </c>
      <c r="B4" s="2" t="s">
        <v>55</v>
      </c>
      <c r="C4" s="2" t="s">
        <v>56</v>
      </c>
      <c r="D4" s="2" t="s">
        <v>57</v>
      </c>
      <c r="E4" s="3" t="s">
        <v>81</v>
      </c>
      <c r="F4" s="3" t="s">
        <v>59</v>
      </c>
      <c r="G4" s="3" t="s">
        <v>60</v>
      </c>
      <c r="H4" s="3" t="s">
        <v>61</v>
      </c>
      <c r="I4" s="3" t="s">
        <v>61</v>
      </c>
      <c r="J4" s="3" t="s">
        <v>62</v>
      </c>
      <c r="K4" s="2" t="s">
        <v>63</v>
      </c>
      <c r="L4" s="2" t="s">
        <v>64</v>
      </c>
      <c r="M4" s="3" t="s">
        <v>65</v>
      </c>
      <c r="O4" s="3" t="s">
        <v>66</v>
      </c>
      <c r="P4" s="3" t="s">
        <v>67</v>
      </c>
      <c r="R4" s="3" t="s">
        <v>68</v>
      </c>
      <c r="S4" s="4">
        <v>0</v>
      </c>
      <c r="T4" s="4">
        <v>2</v>
      </c>
      <c r="V4" s="5" t="s">
        <v>69</v>
      </c>
      <c r="W4" s="5" t="s">
        <v>70</v>
      </c>
      <c r="X4" s="5" t="s">
        <v>70</v>
      </c>
      <c r="Y4" s="4">
        <v>106</v>
      </c>
      <c r="Z4" s="4">
        <v>78</v>
      </c>
      <c r="AA4" s="4">
        <v>122</v>
      </c>
      <c r="AB4" s="4">
        <v>1</v>
      </c>
      <c r="AC4" s="4">
        <v>1</v>
      </c>
      <c r="AD4" s="4">
        <v>4</v>
      </c>
      <c r="AE4" s="4">
        <v>10</v>
      </c>
      <c r="AF4" s="4">
        <v>2</v>
      </c>
      <c r="AG4" s="4">
        <v>2</v>
      </c>
      <c r="AH4" s="4">
        <v>1</v>
      </c>
      <c r="AI4" s="4">
        <v>2</v>
      </c>
      <c r="AJ4" s="4">
        <v>1</v>
      </c>
      <c r="AK4" s="4">
        <v>6</v>
      </c>
      <c r="AL4" s="4">
        <v>0</v>
      </c>
      <c r="AM4" s="4">
        <v>0</v>
      </c>
      <c r="AN4" s="4">
        <v>0</v>
      </c>
      <c r="AO4" s="4">
        <v>0</v>
      </c>
      <c r="AP4" s="3" t="s">
        <v>59</v>
      </c>
      <c r="AQ4" s="3" t="s">
        <v>61</v>
      </c>
      <c r="AR4" s="6" t="str">
        <f t="shared" si="0"/>
        <v>HathiTrust Record</v>
      </c>
      <c r="AS4" s="6" t="str">
        <f t="shared" si="1"/>
        <v>Catalog Record</v>
      </c>
      <c r="AT4" s="6" t="str">
        <f t="shared" si="2"/>
        <v>WorldCat Record</v>
      </c>
      <c r="AU4" s="3" t="s">
        <v>71</v>
      </c>
      <c r="AV4" s="3" t="s">
        <v>72</v>
      </c>
      <c r="AW4" s="3" t="s">
        <v>73</v>
      </c>
      <c r="AX4" s="3" t="s">
        <v>73</v>
      </c>
      <c r="AY4" s="3" t="s">
        <v>74</v>
      </c>
      <c r="AZ4" s="3" t="s">
        <v>75</v>
      </c>
      <c r="BC4" s="3" t="s">
        <v>82</v>
      </c>
      <c r="BD4" s="3" t="s">
        <v>83</v>
      </c>
    </row>
    <row r="5" spans="1:56" ht="44.25" customHeight="1" x14ac:dyDescent="0.25">
      <c r="A5" s="7" t="s">
        <v>61</v>
      </c>
      <c r="B5" s="2" t="s">
        <v>55</v>
      </c>
      <c r="C5" s="2" t="s">
        <v>56</v>
      </c>
      <c r="D5" s="2" t="s">
        <v>57</v>
      </c>
      <c r="E5" s="3" t="s">
        <v>84</v>
      </c>
      <c r="F5" s="3" t="s">
        <v>59</v>
      </c>
      <c r="G5" s="3" t="s">
        <v>60</v>
      </c>
      <c r="H5" s="3" t="s">
        <v>61</v>
      </c>
      <c r="I5" s="3" t="s">
        <v>61</v>
      </c>
      <c r="J5" s="3" t="s">
        <v>62</v>
      </c>
      <c r="K5" s="2" t="s">
        <v>63</v>
      </c>
      <c r="L5" s="2" t="s">
        <v>64</v>
      </c>
      <c r="M5" s="3" t="s">
        <v>65</v>
      </c>
      <c r="O5" s="3" t="s">
        <v>66</v>
      </c>
      <c r="P5" s="3" t="s">
        <v>67</v>
      </c>
      <c r="R5" s="3" t="s">
        <v>68</v>
      </c>
      <c r="S5" s="4">
        <v>0</v>
      </c>
      <c r="T5" s="4">
        <v>2</v>
      </c>
      <c r="V5" s="5" t="s">
        <v>69</v>
      </c>
      <c r="W5" s="5" t="s">
        <v>70</v>
      </c>
      <c r="X5" s="5" t="s">
        <v>70</v>
      </c>
      <c r="Y5" s="4">
        <v>106</v>
      </c>
      <c r="Z5" s="4">
        <v>78</v>
      </c>
      <c r="AA5" s="4">
        <v>122</v>
      </c>
      <c r="AB5" s="4">
        <v>1</v>
      </c>
      <c r="AC5" s="4">
        <v>1</v>
      </c>
      <c r="AD5" s="4">
        <v>4</v>
      </c>
      <c r="AE5" s="4">
        <v>10</v>
      </c>
      <c r="AF5" s="4">
        <v>2</v>
      </c>
      <c r="AG5" s="4">
        <v>2</v>
      </c>
      <c r="AH5" s="4">
        <v>1</v>
      </c>
      <c r="AI5" s="4">
        <v>2</v>
      </c>
      <c r="AJ5" s="4">
        <v>1</v>
      </c>
      <c r="AK5" s="4">
        <v>6</v>
      </c>
      <c r="AL5" s="4">
        <v>0</v>
      </c>
      <c r="AM5" s="4">
        <v>0</v>
      </c>
      <c r="AN5" s="4">
        <v>0</v>
      </c>
      <c r="AO5" s="4">
        <v>0</v>
      </c>
      <c r="AP5" s="3" t="s">
        <v>59</v>
      </c>
      <c r="AQ5" s="3" t="s">
        <v>61</v>
      </c>
      <c r="AR5" s="6" t="str">
        <f t="shared" si="0"/>
        <v>HathiTrust Record</v>
      </c>
      <c r="AS5" s="6" t="str">
        <f t="shared" si="1"/>
        <v>Catalog Record</v>
      </c>
      <c r="AT5" s="6" t="str">
        <f t="shared" si="2"/>
        <v>WorldCat Record</v>
      </c>
      <c r="AU5" s="3" t="s">
        <v>71</v>
      </c>
      <c r="AV5" s="3" t="s">
        <v>72</v>
      </c>
      <c r="AW5" s="3" t="s">
        <v>73</v>
      </c>
      <c r="AX5" s="3" t="s">
        <v>73</v>
      </c>
      <c r="AY5" s="3" t="s">
        <v>74</v>
      </c>
      <c r="AZ5" s="3" t="s">
        <v>75</v>
      </c>
      <c r="BC5" s="3" t="s">
        <v>85</v>
      </c>
      <c r="BD5" s="3" t="s">
        <v>86</v>
      </c>
    </row>
    <row r="6" spans="1:56" ht="44.25" customHeight="1" x14ac:dyDescent="0.25">
      <c r="A6" s="7" t="s">
        <v>61</v>
      </c>
      <c r="B6" s="2" t="s">
        <v>55</v>
      </c>
      <c r="C6" s="2" t="s">
        <v>56</v>
      </c>
      <c r="D6" s="2" t="s">
        <v>57</v>
      </c>
      <c r="E6" s="3" t="s">
        <v>87</v>
      </c>
      <c r="F6" s="3" t="s">
        <v>59</v>
      </c>
      <c r="G6" s="3" t="s">
        <v>60</v>
      </c>
      <c r="H6" s="3" t="s">
        <v>61</v>
      </c>
      <c r="I6" s="3" t="s">
        <v>61</v>
      </c>
      <c r="J6" s="3" t="s">
        <v>62</v>
      </c>
      <c r="K6" s="2" t="s">
        <v>63</v>
      </c>
      <c r="L6" s="2" t="s">
        <v>64</v>
      </c>
      <c r="M6" s="3" t="s">
        <v>65</v>
      </c>
      <c r="O6" s="3" t="s">
        <v>66</v>
      </c>
      <c r="P6" s="3" t="s">
        <v>67</v>
      </c>
      <c r="R6" s="3" t="s">
        <v>68</v>
      </c>
      <c r="S6" s="4">
        <v>0</v>
      </c>
      <c r="T6" s="4">
        <v>2</v>
      </c>
      <c r="V6" s="5" t="s">
        <v>69</v>
      </c>
      <c r="W6" s="5" t="s">
        <v>70</v>
      </c>
      <c r="X6" s="5" t="s">
        <v>70</v>
      </c>
      <c r="Y6" s="4">
        <v>106</v>
      </c>
      <c r="Z6" s="4">
        <v>78</v>
      </c>
      <c r="AA6" s="4">
        <v>122</v>
      </c>
      <c r="AB6" s="4">
        <v>1</v>
      </c>
      <c r="AC6" s="4">
        <v>1</v>
      </c>
      <c r="AD6" s="4">
        <v>4</v>
      </c>
      <c r="AE6" s="4">
        <v>10</v>
      </c>
      <c r="AF6" s="4">
        <v>2</v>
      </c>
      <c r="AG6" s="4">
        <v>2</v>
      </c>
      <c r="AH6" s="4">
        <v>1</v>
      </c>
      <c r="AI6" s="4">
        <v>2</v>
      </c>
      <c r="AJ6" s="4">
        <v>1</v>
      </c>
      <c r="AK6" s="4">
        <v>6</v>
      </c>
      <c r="AL6" s="4">
        <v>0</v>
      </c>
      <c r="AM6" s="4">
        <v>0</v>
      </c>
      <c r="AN6" s="4">
        <v>0</v>
      </c>
      <c r="AO6" s="4">
        <v>0</v>
      </c>
      <c r="AP6" s="3" t="s">
        <v>59</v>
      </c>
      <c r="AQ6" s="3" t="s">
        <v>61</v>
      </c>
      <c r="AR6" s="6" t="str">
        <f t="shared" si="0"/>
        <v>HathiTrust Record</v>
      </c>
      <c r="AS6" s="6" t="str">
        <f t="shared" si="1"/>
        <v>Catalog Record</v>
      </c>
      <c r="AT6" s="6" t="str">
        <f t="shared" si="2"/>
        <v>WorldCat Record</v>
      </c>
      <c r="AU6" s="3" t="s">
        <v>71</v>
      </c>
      <c r="AV6" s="3" t="s">
        <v>72</v>
      </c>
      <c r="AW6" s="3" t="s">
        <v>73</v>
      </c>
      <c r="AX6" s="3" t="s">
        <v>73</v>
      </c>
      <c r="AY6" s="3" t="s">
        <v>74</v>
      </c>
      <c r="AZ6" s="3" t="s">
        <v>75</v>
      </c>
      <c r="BC6" s="3" t="s">
        <v>88</v>
      </c>
      <c r="BD6" s="3" t="s">
        <v>89</v>
      </c>
    </row>
    <row r="7" spans="1:56" ht="44.25" customHeight="1" x14ac:dyDescent="0.25">
      <c r="A7" s="7" t="s">
        <v>61</v>
      </c>
      <c r="B7" s="2" t="s">
        <v>55</v>
      </c>
      <c r="C7" s="2" t="s">
        <v>56</v>
      </c>
      <c r="D7" s="2" t="s">
        <v>57</v>
      </c>
      <c r="E7" s="3" t="s">
        <v>90</v>
      </c>
      <c r="F7" s="3" t="s">
        <v>59</v>
      </c>
      <c r="G7" s="3" t="s">
        <v>60</v>
      </c>
      <c r="H7" s="3" t="s">
        <v>61</v>
      </c>
      <c r="I7" s="3" t="s">
        <v>61</v>
      </c>
      <c r="J7" s="3" t="s">
        <v>62</v>
      </c>
      <c r="K7" s="2" t="s">
        <v>63</v>
      </c>
      <c r="L7" s="2" t="s">
        <v>64</v>
      </c>
      <c r="M7" s="3" t="s">
        <v>65</v>
      </c>
      <c r="O7" s="3" t="s">
        <v>66</v>
      </c>
      <c r="P7" s="3" t="s">
        <v>67</v>
      </c>
      <c r="R7" s="3" t="s">
        <v>68</v>
      </c>
      <c r="S7" s="4">
        <v>0</v>
      </c>
      <c r="T7" s="4">
        <v>2</v>
      </c>
      <c r="V7" s="5" t="s">
        <v>69</v>
      </c>
      <c r="W7" s="5" t="s">
        <v>70</v>
      </c>
      <c r="X7" s="5" t="s">
        <v>70</v>
      </c>
      <c r="Y7" s="4">
        <v>106</v>
      </c>
      <c r="Z7" s="4">
        <v>78</v>
      </c>
      <c r="AA7" s="4">
        <v>122</v>
      </c>
      <c r="AB7" s="4">
        <v>1</v>
      </c>
      <c r="AC7" s="4">
        <v>1</v>
      </c>
      <c r="AD7" s="4">
        <v>4</v>
      </c>
      <c r="AE7" s="4">
        <v>10</v>
      </c>
      <c r="AF7" s="4">
        <v>2</v>
      </c>
      <c r="AG7" s="4">
        <v>2</v>
      </c>
      <c r="AH7" s="4">
        <v>1</v>
      </c>
      <c r="AI7" s="4">
        <v>2</v>
      </c>
      <c r="AJ7" s="4">
        <v>1</v>
      </c>
      <c r="AK7" s="4">
        <v>6</v>
      </c>
      <c r="AL7" s="4">
        <v>0</v>
      </c>
      <c r="AM7" s="4">
        <v>0</v>
      </c>
      <c r="AN7" s="4">
        <v>0</v>
      </c>
      <c r="AO7" s="4">
        <v>0</v>
      </c>
      <c r="AP7" s="3" t="s">
        <v>59</v>
      </c>
      <c r="AQ7" s="3" t="s">
        <v>61</v>
      </c>
      <c r="AR7" s="6" t="str">
        <f t="shared" si="0"/>
        <v>HathiTrust Record</v>
      </c>
      <c r="AS7" s="6" t="str">
        <f t="shared" si="1"/>
        <v>Catalog Record</v>
      </c>
      <c r="AT7" s="6" t="str">
        <f t="shared" si="2"/>
        <v>WorldCat Record</v>
      </c>
      <c r="AU7" s="3" t="s">
        <v>71</v>
      </c>
      <c r="AV7" s="3" t="s">
        <v>72</v>
      </c>
      <c r="AW7" s="3" t="s">
        <v>73</v>
      </c>
      <c r="AX7" s="3" t="s">
        <v>73</v>
      </c>
      <c r="AY7" s="3" t="s">
        <v>74</v>
      </c>
      <c r="AZ7" s="3" t="s">
        <v>75</v>
      </c>
      <c r="BC7" s="3" t="s">
        <v>91</v>
      </c>
      <c r="BD7" s="3" t="s">
        <v>92</v>
      </c>
    </row>
    <row r="8" spans="1:56" ht="44.25" customHeight="1" x14ac:dyDescent="0.25">
      <c r="A8" s="7" t="s">
        <v>61</v>
      </c>
      <c r="B8" s="2" t="s">
        <v>55</v>
      </c>
      <c r="C8" s="2" t="s">
        <v>56</v>
      </c>
      <c r="D8" s="2" t="s">
        <v>57</v>
      </c>
      <c r="E8" s="3" t="s">
        <v>93</v>
      </c>
      <c r="F8" s="3" t="s">
        <v>59</v>
      </c>
      <c r="G8" s="3" t="s">
        <v>60</v>
      </c>
      <c r="H8" s="3" t="s">
        <v>61</v>
      </c>
      <c r="I8" s="3" t="s">
        <v>61</v>
      </c>
      <c r="J8" s="3" t="s">
        <v>62</v>
      </c>
      <c r="K8" s="2" t="s">
        <v>63</v>
      </c>
      <c r="L8" s="2" t="s">
        <v>64</v>
      </c>
      <c r="M8" s="3" t="s">
        <v>65</v>
      </c>
      <c r="O8" s="3" t="s">
        <v>66</v>
      </c>
      <c r="P8" s="3" t="s">
        <v>67</v>
      </c>
      <c r="R8" s="3" t="s">
        <v>68</v>
      </c>
      <c r="S8" s="4">
        <v>1</v>
      </c>
      <c r="T8" s="4">
        <v>2</v>
      </c>
      <c r="U8" s="5" t="s">
        <v>69</v>
      </c>
      <c r="V8" s="5" t="s">
        <v>69</v>
      </c>
      <c r="W8" s="5" t="s">
        <v>70</v>
      </c>
      <c r="X8" s="5" t="s">
        <v>70</v>
      </c>
      <c r="Y8" s="4">
        <v>106</v>
      </c>
      <c r="Z8" s="4">
        <v>78</v>
      </c>
      <c r="AA8" s="4">
        <v>122</v>
      </c>
      <c r="AB8" s="4">
        <v>1</v>
      </c>
      <c r="AC8" s="4">
        <v>1</v>
      </c>
      <c r="AD8" s="4">
        <v>4</v>
      </c>
      <c r="AE8" s="4">
        <v>10</v>
      </c>
      <c r="AF8" s="4">
        <v>2</v>
      </c>
      <c r="AG8" s="4">
        <v>2</v>
      </c>
      <c r="AH8" s="4">
        <v>1</v>
      </c>
      <c r="AI8" s="4">
        <v>2</v>
      </c>
      <c r="AJ8" s="4">
        <v>1</v>
      </c>
      <c r="AK8" s="4">
        <v>6</v>
      </c>
      <c r="AL8" s="4">
        <v>0</v>
      </c>
      <c r="AM8" s="4">
        <v>0</v>
      </c>
      <c r="AN8" s="4">
        <v>0</v>
      </c>
      <c r="AO8" s="4">
        <v>0</v>
      </c>
      <c r="AP8" s="3" t="s">
        <v>59</v>
      </c>
      <c r="AQ8" s="3" t="s">
        <v>61</v>
      </c>
      <c r="AR8" s="6" t="str">
        <f t="shared" si="0"/>
        <v>HathiTrust Record</v>
      </c>
      <c r="AS8" s="6" t="str">
        <f t="shared" si="1"/>
        <v>Catalog Record</v>
      </c>
      <c r="AT8" s="6" t="str">
        <f t="shared" si="2"/>
        <v>WorldCat Record</v>
      </c>
      <c r="AU8" s="3" t="s">
        <v>71</v>
      </c>
      <c r="AV8" s="3" t="s">
        <v>72</v>
      </c>
      <c r="AW8" s="3" t="s">
        <v>73</v>
      </c>
      <c r="AX8" s="3" t="s">
        <v>73</v>
      </c>
      <c r="AY8" s="3" t="s">
        <v>74</v>
      </c>
      <c r="AZ8" s="3" t="s">
        <v>75</v>
      </c>
      <c r="BC8" s="3" t="s">
        <v>94</v>
      </c>
      <c r="BD8" s="3" t="s">
        <v>95</v>
      </c>
    </row>
    <row r="9" spans="1:56" ht="44.25" customHeight="1" x14ac:dyDescent="0.25">
      <c r="A9" s="7" t="s">
        <v>61</v>
      </c>
      <c r="B9" s="2" t="s">
        <v>55</v>
      </c>
      <c r="C9" s="2" t="s">
        <v>56</v>
      </c>
      <c r="D9" s="2" t="s">
        <v>57</v>
      </c>
      <c r="E9" s="3" t="s">
        <v>96</v>
      </c>
      <c r="F9" s="3" t="s">
        <v>59</v>
      </c>
      <c r="G9" s="3" t="s">
        <v>60</v>
      </c>
      <c r="H9" s="3" t="s">
        <v>61</v>
      </c>
      <c r="I9" s="3" t="s">
        <v>61</v>
      </c>
      <c r="J9" s="3" t="s">
        <v>62</v>
      </c>
      <c r="K9" s="2" t="s">
        <v>63</v>
      </c>
      <c r="L9" s="2" t="s">
        <v>64</v>
      </c>
      <c r="M9" s="3" t="s">
        <v>65</v>
      </c>
      <c r="O9" s="3" t="s">
        <v>66</v>
      </c>
      <c r="P9" s="3" t="s">
        <v>67</v>
      </c>
      <c r="R9" s="3" t="s">
        <v>68</v>
      </c>
      <c r="S9" s="4">
        <v>0</v>
      </c>
      <c r="T9" s="4">
        <v>2</v>
      </c>
      <c r="V9" s="5" t="s">
        <v>69</v>
      </c>
      <c r="W9" s="5" t="s">
        <v>70</v>
      </c>
      <c r="X9" s="5" t="s">
        <v>70</v>
      </c>
      <c r="Y9" s="4">
        <v>106</v>
      </c>
      <c r="Z9" s="4">
        <v>78</v>
      </c>
      <c r="AA9" s="4">
        <v>122</v>
      </c>
      <c r="AB9" s="4">
        <v>1</v>
      </c>
      <c r="AC9" s="4">
        <v>1</v>
      </c>
      <c r="AD9" s="4">
        <v>4</v>
      </c>
      <c r="AE9" s="4">
        <v>10</v>
      </c>
      <c r="AF9" s="4">
        <v>2</v>
      </c>
      <c r="AG9" s="4">
        <v>2</v>
      </c>
      <c r="AH9" s="4">
        <v>1</v>
      </c>
      <c r="AI9" s="4">
        <v>2</v>
      </c>
      <c r="AJ9" s="4">
        <v>1</v>
      </c>
      <c r="AK9" s="4">
        <v>6</v>
      </c>
      <c r="AL9" s="4">
        <v>0</v>
      </c>
      <c r="AM9" s="4">
        <v>0</v>
      </c>
      <c r="AN9" s="4">
        <v>0</v>
      </c>
      <c r="AO9" s="4">
        <v>0</v>
      </c>
      <c r="AP9" s="3" t="s">
        <v>59</v>
      </c>
      <c r="AQ9" s="3" t="s">
        <v>61</v>
      </c>
      <c r="AR9" s="6" t="str">
        <f t="shared" si="0"/>
        <v>HathiTrust Record</v>
      </c>
      <c r="AS9" s="6" t="str">
        <f t="shared" si="1"/>
        <v>Catalog Record</v>
      </c>
      <c r="AT9" s="6" t="str">
        <f t="shared" si="2"/>
        <v>WorldCat Record</v>
      </c>
      <c r="AU9" s="3" t="s">
        <v>71</v>
      </c>
      <c r="AV9" s="3" t="s">
        <v>72</v>
      </c>
      <c r="AW9" s="3" t="s">
        <v>73</v>
      </c>
      <c r="AX9" s="3" t="s">
        <v>73</v>
      </c>
      <c r="AY9" s="3" t="s">
        <v>74</v>
      </c>
      <c r="AZ9" s="3" t="s">
        <v>75</v>
      </c>
      <c r="BC9" s="3" t="s">
        <v>97</v>
      </c>
      <c r="BD9" s="3" t="s">
        <v>98</v>
      </c>
    </row>
    <row r="10" spans="1:56" ht="44.25" customHeight="1" x14ac:dyDescent="0.25">
      <c r="A10" s="7" t="s">
        <v>61</v>
      </c>
      <c r="B10" s="2" t="s">
        <v>55</v>
      </c>
      <c r="C10" s="2" t="s">
        <v>56</v>
      </c>
      <c r="D10" s="2" t="s">
        <v>57</v>
      </c>
      <c r="E10" s="3" t="s">
        <v>99</v>
      </c>
      <c r="F10" s="3" t="s">
        <v>59</v>
      </c>
      <c r="G10" s="3" t="s">
        <v>60</v>
      </c>
      <c r="H10" s="3" t="s">
        <v>61</v>
      </c>
      <c r="I10" s="3" t="s">
        <v>61</v>
      </c>
      <c r="J10" s="3" t="s">
        <v>62</v>
      </c>
      <c r="K10" s="2" t="s">
        <v>63</v>
      </c>
      <c r="L10" s="2" t="s">
        <v>64</v>
      </c>
      <c r="M10" s="3" t="s">
        <v>65</v>
      </c>
      <c r="O10" s="3" t="s">
        <v>66</v>
      </c>
      <c r="P10" s="3" t="s">
        <v>67</v>
      </c>
      <c r="R10" s="3" t="s">
        <v>68</v>
      </c>
      <c r="S10" s="4">
        <v>0</v>
      </c>
      <c r="T10" s="4">
        <v>2</v>
      </c>
      <c r="V10" s="5" t="s">
        <v>69</v>
      </c>
      <c r="W10" s="5" t="s">
        <v>70</v>
      </c>
      <c r="X10" s="5" t="s">
        <v>70</v>
      </c>
      <c r="Y10" s="4">
        <v>106</v>
      </c>
      <c r="Z10" s="4">
        <v>78</v>
      </c>
      <c r="AA10" s="4">
        <v>122</v>
      </c>
      <c r="AB10" s="4">
        <v>1</v>
      </c>
      <c r="AC10" s="4">
        <v>1</v>
      </c>
      <c r="AD10" s="4">
        <v>4</v>
      </c>
      <c r="AE10" s="4">
        <v>10</v>
      </c>
      <c r="AF10" s="4">
        <v>2</v>
      </c>
      <c r="AG10" s="4">
        <v>2</v>
      </c>
      <c r="AH10" s="4">
        <v>1</v>
      </c>
      <c r="AI10" s="4">
        <v>2</v>
      </c>
      <c r="AJ10" s="4">
        <v>1</v>
      </c>
      <c r="AK10" s="4">
        <v>6</v>
      </c>
      <c r="AL10" s="4">
        <v>0</v>
      </c>
      <c r="AM10" s="4">
        <v>0</v>
      </c>
      <c r="AN10" s="4">
        <v>0</v>
      </c>
      <c r="AO10" s="4">
        <v>0</v>
      </c>
      <c r="AP10" s="3" t="s">
        <v>59</v>
      </c>
      <c r="AQ10" s="3" t="s">
        <v>61</v>
      </c>
      <c r="AR10" s="6" t="str">
        <f t="shared" si="0"/>
        <v>HathiTrust Record</v>
      </c>
      <c r="AS10" s="6" t="str">
        <f t="shared" si="1"/>
        <v>Catalog Record</v>
      </c>
      <c r="AT10" s="6" t="str">
        <f t="shared" si="2"/>
        <v>WorldCat Record</v>
      </c>
      <c r="AU10" s="3" t="s">
        <v>71</v>
      </c>
      <c r="AV10" s="3" t="s">
        <v>72</v>
      </c>
      <c r="AW10" s="3" t="s">
        <v>73</v>
      </c>
      <c r="AX10" s="3" t="s">
        <v>73</v>
      </c>
      <c r="AY10" s="3" t="s">
        <v>74</v>
      </c>
      <c r="AZ10" s="3" t="s">
        <v>75</v>
      </c>
      <c r="BC10" s="3" t="s">
        <v>100</v>
      </c>
      <c r="BD10" s="3" t="s">
        <v>101</v>
      </c>
    </row>
    <row r="11" spans="1:56" ht="44.25" customHeight="1" x14ac:dyDescent="0.25">
      <c r="A11" s="7" t="s">
        <v>61</v>
      </c>
      <c r="B11" s="2" t="s">
        <v>55</v>
      </c>
      <c r="C11" s="2" t="s">
        <v>56</v>
      </c>
      <c r="D11" s="2" t="s">
        <v>57</v>
      </c>
      <c r="E11" s="3" t="s">
        <v>102</v>
      </c>
      <c r="F11" s="3" t="s">
        <v>59</v>
      </c>
      <c r="G11" s="3" t="s">
        <v>60</v>
      </c>
      <c r="H11" s="3" t="s">
        <v>61</v>
      </c>
      <c r="I11" s="3" t="s">
        <v>61</v>
      </c>
      <c r="J11" s="3" t="s">
        <v>62</v>
      </c>
      <c r="K11" s="2" t="s">
        <v>63</v>
      </c>
      <c r="L11" s="2" t="s">
        <v>64</v>
      </c>
      <c r="M11" s="3" t="s">
        <v>65</v>
      </c>
      <c r="O11" s="3" t="s">
        <v>66</v>
      </c>
      <c r="P11" s="3" t="s">
        <v>67</v>
      </c>
      <c r="R11" s="3" t="s">
        <v>68</v>
      </c>
      <c r="S11" s="4">
        <v>0</v>
      </c>
      <c r="T11" s="4">
        <v>2</v>
      </c>
      <c r="V11" s="5" t="s">
        <v>69</v>
      </c>
      <c r="W11" s="5" t="s">
        <v>70</v>
      </c>
      <c r="X11" s="5" t="s">
        <v>70</v>
      </c>
      <c r="Y11" s="4">
        <v>106</v>
      </c>
      <c r="Z11" s="4">
        <v>78</v>
      </c>
      <c r="AA11" s="4">
        <v>122</v>
      </c>
      <c r="AB11" s="4">
        <v>1</v>
      </c>
      <c r="AC11" s="4">
        <v>1</v>
      </c>
      <c r="AD11" s="4">
        <v>4</v>
      </c>
      <c r="AE11" s="4">
        <v>10</v>
      </c>
      <c r="AF11" s="4">
        <v>2</v>
      </c>
      <c r="AG11" s="4">
        <v>2</v>
      </c>
      <c r="AH11" s="4">
        <v>1</v>
      </c>
      <c r="AI11" s="4">
        <v>2</v>
      </c>
      <c r="AJ11" s="4">
        <v>1</v>
      </c>
      <c r="AK11" s="4">
        <v>6</v>
      </c>
      <c r="AL11" s="4">
        <v>0</v>
      </c>
      <c r="AM11" s="4">
        <v>0</v>
      </c>
      <c r="AN11" s="4">
        <v>0</v>
      </c>
      <c r="AO11" s="4">
        <v>0</v>
      </c>
      <c r="AP11" s="3" t="s">
        <v>59</v>
      </c>
      <c r="AQ11" s="3" t="s">
        <v>61</v>
      </c>
      <c r="AR11" s="6" t="str">
        <f t="shared" si="0"/>
        <v>HathiTrust Record</v>
      </c>
      <c r="AS11" s="6" t="str">
        <f t="shared" si="1"/>
        <v>Catalog Record</v>
      </c>
      <c r="AT11" s="6" t="str">
        <f t="shared" si="2"/>
        <v>WorldCat Record</v>
      </c>
      <c r="AU11" s="3" t="s">
        <v>71</v>
      </c>
      <c r="AV11" s="3" t="s">
        <v>72</v>
      </c>
      <c r="AW11" s="3" t="s">
        <v>73</v>
      </c>
      <c r="AX11" s="3" t="s">
        <v>73</v>
      </c>
      <c r="AY11" s="3" t="s">
        <v>74</v>
      </c>
      <c r="AZ11" s="3" t="s">
        <v>75</v>
      </c>
      <c r="BC11" s="3" t="s">
        <v>103</v>
      </c>
      <c r="BD11" s="3" t="s">
        <v>104</v>
      </c>
    </row>
    <row r="12" spans="1:56" ht="44.25" customHeight="1" x14ac:dyDescent="0.25">
      <c r="A12" s="7" t="s">
        <v>61</v>
      </c>
      <c r="B12" s="2" t="s">
        <v>55</v>
      </c>
      <c r="C12" s="2" t="s">
        <v>56</v>
      </c>
      <c r="D12" s="2" t="s">
        <v>57</v>
      </c>
      <c r="E12" s="3" t="s">
        <v>105</v>
      </c>
      <c r="F12" s="3" t="s">
        <v>59</v>
      </c>
      <c r="G12" s="3" t="s">
        <v>60</v>
      </c>
      <c r="H12" s="3" t="s">
        <v>61</v>
      </c>
      <c r="I12" s="3" t="s">
        <v>61</v>
      </c>
      <c r="J12" s="3" t="s">
        <v>62</v>
      </c>
      <c r="K12" s="2" t="s">
        <v>63</v>
      </c>
      <c r="L12" s="2" t="s">
        <v>64</v>
      </c>
      <c r="M12" s="3" t="s">
        <v>65</v>
      </c>
      <c r="O12" s="3" t="s">
        <v>66</v>
      </c>
      <c r="P12" s="3" t="s">
        <v>67</v>
      </c>
      <c r="R12" s="3" t="s">
        <v>68</v>
      </c>
      <c r="S12" s="4">
        <v>0</v>
      </c>
      <c r="T12" s="4">
        <v>2</v>
      </c>
      <c r="V12" s="5" t="s">
        <v>69</v>
      </c>
      <c r="W12" s="5" t="s">
        <v>70</v>
      </c>
      <c r="X12" s="5" t="s">
        <v>70</v>
      </c>
      <c r="Y12" s="4">
        <v>106</v>
      </c>
      <c r="Z12" s="4">
        <v>78</v>
      </c>
      <c r="AA12" s="4">
        <v>122</v>
      </c>
      <c r="AB12" s="4">
        <v>1</v>
      </c>
      <c r="AC12" s="4">
        <v>1</v>
      </c>
      <c r="AD12" s="4">
        <v>4</v>
      </c>
      <c r="AE12" s="4">
        <v>10</v>
      </c>
      <c r="AF12" s="4">
        <v>2</v>
      </c>
      <c r="AG12" s="4">
        <v>2</v>
      </c>
      <c r="AH12" s="4">
        <v>1</v>
      </c>
      <c r="AI12" s="4">
        <v>2</v>
      </c>
      <c r="AJ12" s="4">
        <v>1</v>
      </c>
      <c r="AK12" s="4">
        <v>6</v>
      </c>
      <c r="AL12" s="4">
        <v>0</v>
      </c>
      <c r="AM12" s="4">
        <v>0</v>
      </c>
      <c r="AN12" s="4">
        <v>0</v>
      </c>
      <c r="AO12" s="4">
        <v>0</v>
      </c>
      <c r="AP12" s="3" t="s">
        <v>59</v>
      </c>
      <c r="AQ12" s="3" t="s">
        <v>61</v>
      </c>
      <c r="AR12" s="6" t="str">
        <f t="shared" si="0"/>
        <v>HathiTrust Record</v>
      </c>
      <c r="AS12" s="6" t="str">
        <f t="shared" si="1"/>
        <v>Catalog Record</v>
      </c>
      <c r="AT12" s="6" t="str">
        <f t="shared" si="2"/>
        <v>WorldCat Record</v>
      </c>
      <c r="AU12" s="3" t="s">
        <v>71</v>
      </c>
      <c r="AV12" s="3" t="s">
        <v>72</v>
      </c>
      <c r="AW12" s="3" t="s">
        <v>73</v>
      </c>
      <c r="AX12" s="3" t="s">
        <v>73</v>
      </c>
      <c r="AY12" s="3" t="s">
        <v>74</v>
      </c>
      <c r="AZ12" s="3" t="s">
        <v>75</v>
      </c>
      <c r="BC12" s="3" t="s">
        <v>106</v>
      </c>
      <c r="BD12" s="3" t="s">
        <v>107</v>
      </c>
    </row>
    <row r="13" spans="1:56" ht="44.25" customHeight="1" x14ac:dyDescent="0.25">
      <c r="A13" s="7" t="s">
        <v>61</v>
      </c>
      <c r="B13" s="2" t="s">
        <v>108</v>
      </c>
      <c r="C13" s="2" t="s">
        <v>109</v>
      </c>
      <c r="D13" s="2" t="s">
        <v>110</v>
      </c>
      <c r="F13" s="3" t="s">
        <v>61</v>
      </c>
      <c r="G13" s="3" t="s">
        <v>60</v>
      </c>
      <c r="H13" s="3" t="s">
        <v>61</v>
      </c>
      <c r="I13" s="3" t="s">
        <v>61</v>
      </c>
      <c r="J13" s="3" t="s">
        <v>62</v>
      </c>
      <c r="K13" s="2" t="s">
        <v>111</v>
      </c>
      <c r="L13" s="2" t="s">
        <v>112</v>
      </c>
      <c r="M13" s="3" t="s">
        <v>113</v>
      </c>
      <c r="O13" s="3" t="s">
        <v>114</v>
      </c>
      <c r="P13" s="3" t="s">
        <v>115</v>
      </c>
      <c r="R13" s="3" t="s">
        <v>68</v>
      </c>
      <c r="S13" s="4">
        <v>4</v>
      </c>
      <c r="T13" s="4">
        <v>4</v>
      </c>
      <c r="U13" s="5" t="s">
        <v>116</v>
      </c>
      <c r="V13" s="5" t="s">
        <v>116</v>
      </c>
      <c r="W13" s="5" t="s">
        <v>117</v>
      </c>
      <c r="X13" s="5" t="s">
        <v>117</v>
      </c>
      <c r="Y13" s="4">
        <v>475</v>
      </c>
      <c r="Z13" s="4">
        <v>439</v>
      </c>
      <c r="AA13" s="4">
        <v>731</v>
      </c>
      <c r="AB13" s="4">
        <v>4</v>
      </c>
      <c r="AC13" s="4">
        <v>5</v>
      </c>
      <c r="AD13" s="4">
        <v>13</v>
      </c>
      <c r="AE13" s="4">
        <v>24</v>
      </c>
      <c r="AF13" s="4">
        <v>3</v>
      </c>
      <c r="AG13" s="4">
        <v>7</v>
      </c>
      <c r="AH13" s="4">
        <v>4</v>
      </c>
      <c r="AI13" s="4">
        <v>6</v>
      </c>
      <c r="AJ13" s="4">
        <v>6</v>
      </c>
      <c r="AK13" s="4">
        <v>12</v>
      </c>
      <c r="AL13" s="4">
        <v>3</v>
      </c>
      <c r="AM13" s="4">
        <v>4</v>
      </c>
      <c r="AN13" s="4">
        <v>0</v>
      </c>
      <c r="AO13" s="4">
        <v>0</v>
      </c>
      <c r="AP13" s="3" t="s">
        <v>61</v>
      </c>
      <c r="AQ13" s="3" t="s">
        <v>59</v>
      </c>
      <c r="AR13" s="6" t="str">
        <f>HYPERLINK("http://catalog.hathitrust.org/Record/010096105","HathiTrust Record")</f>
        <v>HathiTrust Record</v>
      </c>
      <c r="AS13" s="6" t="str">
        <f>HYPERLINK("https://creighton-primo.hosted.exlibrisgroup.com/primo-explore/search?tab=default_tab&amp;search_scope=EVERYTHING&amp;vid=01CRU&amp;lang=en_US&amp;offset=0&amp;query=any,contains,991003181559702656","Catalog Record")</f>
        <v>Catalog Record</v>
      </c>
      <c r="AT13" s="6" t="str">
        <f>HYPERLINK("http://www.worldcat.org/oclc/711861","WorldCat Record")</f>
        <v>WorldCat Record</v>
      </c>
      <c r="AU13" s="3" t="s">
        <v>118</v>
      </c>
      <c r="AV13" s="3" t="s">
        <v>119</v>
      </c>
      <c r="AW13" s="3" t="s">
        <v>120</v>
      </c>
      <c r="AX13" s="3" t="s">
        <v>120</v>
      </c>
      <c r="AY13" s="3" t="s">
        <v>121</v>
      </c>
      <c r="AZ13" s="3" t="s">
        <v>75</v>
      </c>
      <c r="BC13" s="3" t="s">
        <v>122</v>
      </c>
      <c r="BD13" s="3" t="s">
        <v>123</v>
      </c>
    </row>
    <row r="14" spans="1:56" ht="44.25" customHeight="1" x14ac:dyDescent="0.25">
      <c r="A14" s="7" t="s">
        <v>61</v>
      </c>
      <c r="B14" s="2" t="s">
        <v>124</v>
      </c>
      <c r="C14" s="2" t="s">
        <v>125</v>
      </c>
      <c r="D14" s="2" t="s">
        <v>126</v>
      </c>
      <c r="F14" s="3" t="s">
        <v>61</v>
      </c>
      <c r="G14" s="3" t="s">
        <v>60</v>
      </c>
      <c r="H14" s="3" t="s">
        <v>61</v>
      </c>
      <c r="I14" s="3" t="s">
        <v>61</v>
      </c>
      <c r="J14" s="3" t="s">
        <v>62</v>
      </c>
      <c r="K14" s="2" t="s">
        <v>127</v>
      </c>
      <c r="L14" s="2" t="s">
        <v>128</v>
      </c>
      <c r="M14" s="3" t="s">
        <v>129</v>
      </c>
      <c r="O14" s="3" t="s">
        <v>114</v>
      </c>
      <c r="P14" s="3" t="s">
        <v>67</v>
      </c>
      <c r="R14" s="3" t="s">
        <v>68</v>
      </c>
      <c r="S14" s="4">
        <v>2</v>
      </c>
      <c r="T14" s="4">
        <v>2</v>
      </c>
      <c r="U14" s="5" t="s">
        <v>130</v>
      </c>
      <c r="V14" s="5" t="s">
        <v>130</v>
      </c>
      <c r="W14" s="5" t="s">
        <v>131</v>
      </c>
      <c r="X14" s="5" t="s">
        <v>131</v>
      </c>
      <c r="Y14" s="4">
        <v>113</v>
      </c>
      <c r="Z14" s="4">
        <v>104</v>
      </c>
      <c r="AA14" s="4">
        <v>248</v>
      </c>
      <c r="AB14" s="4">
        <v>3</v>
      </c>
      <c r="AC14" s="4">
        <v>5</v>
      </c>
      <c r="AD14" s="4">
        <v>5</v>
      </c>
      <c r="AE14" s="4">
        <v>13</v>
      </c>
      <c r="AF14" s="4">
        <v>0</v>
      </c>
      <c r="AG14" s="4">
        <v>5</v>
      </c>
      <c r="AH14" s="4">
        <v>0</v>
      </c>
      <c r="AI14" s="4">
        <v>0</v>
      </c>
      <c r="AJ14" s="4">
        <v>3</v>
      </c>
      <c r="AK14" s="4">
        <v>5</v>
      </c>
      <c r="AL14" s="4">
        <v>2</v>
      </c>
      <c r="AM14" s="4">
        <v>3</v>
      </c>
      <c r="AN14" s="4">
        <v>0</v>
      </c>
      <c r="AO14" s="4">
        <v>0</v>
      </c>
      <c r="AP14" s="3" t="s">
        <v>59</v>
      </c>
      <c r="AQ14" s="3" t="s">
        <v>61</v>
      </c>
      <c r="AR14" s="6" t="str">
        <f>HYPERLINK("http://catalog.hathitrust.org/Record/000483982","HathiTrust Record")</f>
        <v>HathiTrust Record</v>
      </c>
      <c r="AS14" s="6" t="str">
        <f>HYPERLINK("https://creighton-primo.hosted.exlibrisgroup.com/primo-explore/search?tab=default_tab&amp;search_scope=EVERYTHING&amp;vid=01CRU&amp;lang=en_US&amp;offset=0&amp;query=any,contains,991003731729702656","Catalog Record")</f>
        <v>Catalog Record</v>
      </c>
      <c r="AT14" s="6" t="str">
        <f>HYPERLINK("http://www.worldcat.org/oclc/1383384","WorldCat Record")</f>
        <v>WorldCat Record</v>
      </c>
      <c r="AU14" s="3" t="s">
        <v>132</v>
      </c>
      <c r="AV14" s="3" t="s">
        <v>133</v>
      </c>
      <c r="AW14" s="3" t="s">
        <v>134</v>
      </c>
      <c r="AX14" s="3" t="s">
        <v>134</v>
      </c>
      <c r="AY14" s="3" t="s">
        <v>135</v>
      </c>
      <c r="AZ14" s="3" t="s">
        <v>75</v>
      </c>
      <c r="BC14" s="3" t="s">
        <v>136</v>
      </c>
      <c r="BD14" s="3" t="s">
        <v>137</v>
      </c>
    </row>
    <row r="15" spans="1:56" ht="44.25" customHeight="1" x14ac:dyDescent="0.25">
      <c r="A15" s="7" t="s">
        <v>61</v>
      </c>
      <c r="B15" s="2" t="s">
        <v>138</v>
      </c>
      <c r="C15" s="2" t="s">
        <v>139</v>
      </c>
      <c r="D15" s="2" t="s">
        <v>140</v>
      </c>
      <c r="E15" s="3" t="s">
        <v>141</v>
      </c>
      <c r="F15" s="3" t="s">
        <v>59</v>
      </c>
      <c r="G15" s="3" t="s">
        <v>60</v>
      </c>
      <c r="H15" s="3" t="s">
        <v>61</v>
      </c>
      <c r="I15" s="3" t="s">
        <v>61</v>
      </c>
      <c r="J15" s="3" t="s">
        <v>62</v>
      </c>
      <c r="K15" s="2" t="s">
        <v>142</v>
      </c>
      <c r="L15" s="2" t="s">
        <v>143</v>
      </c>
      <c r="M15" s="3" t="s">
        <v>144</v>
      </c>
      <c r="N15" s="2" t="s">
        <v>145</v>
      </c>
      <c r="O15" s="3" t="s">
        <v>114</v>
      </c>
      <c r="P15" s="3" t="s">
        <v>115</v>
      </c>
      <c r="R15" s="3" t="s">
        <v>68</v>
      </c>
      <c r="S15" s="4">
        <v>2</v>
      </c>
      <c r="T15" s="4">
        <v>3</v>
      </c>
      <c r="V15" s="5" t="s">
        <v>146</v>
      </c>
      <c r="W15" s="5" t="s">
        <v>131</v>
      </c>
      <c r="X15" s="5" t="s">
        <v>131</v>
      </c>
      <c r="Y15" s="4">
        <v>277</v>
      </c>
      <c r="Z15" s="4">
        <v>256</v>
      </c>
      <c r="AA15" s="4">
        <v>743</v>
      </c>
      <c r="AB15" s="4">
        <v>2</v>
      </c>
      <c r="AC15" s="4">
        <v>7</v>
      </c>
      <c r="AD15" s="4">
        <v>11</v>
      </c>
      <c r="AE15" s="4">
        <v>34</v>
      </c>
      <c r="AF15" s="4">
        <v>3</v>
      </c>
      <c r="AG15" s="4">
        <v>11</v>
      </c>
      <c r="AH15" s="4">
        <v>2</v>
      </c>
      <c r="AI15" s="4">
        <v>6</v>
      </c>
      <c r="AJ15" s="4">
        <v>7</v>
      </c>
      <c r="AK15" s="4">
        <v>18</v>
      </c>
      <c r="AL15" s="4">
        <v>1</v>
      </c>
      <c r="AM15" s="4">
        <v>6</v>
      </c>
      <c r="AN15" s="4">
        <v>0</v>
      </c>
      <c r="AO15" s="4">
        <v>1</v>
      </c>
      <c r="AP15" s="3" t="s">
        <v>61</v>
      </c>
      <c r="AQ15" s="3" t="s">
        <v>59</v>
      </c>
      <c r="AR15" s="6" t="str">
        <f>HYPERLINK("http://catalog.hathitrust.org/Record/006571346","HathiTrust Record")</f>
        <v>HathiTrust Record</v>
      </c>
      <c r="AS15" s="6" t="str">
        <f>HYPERLINK("https://creighton-primo.hosted.exlibrisgroup.com/primo-explore/search?tab=default_tab&amp;search_scope=EVERYTHING&amp;vid=01CRU&amp;lang=en_US&amp;offset=0&amp;query=any,contains,991002663639702656","Catalog Record")</f>
        <v>Catalog Record</v>
      </c>
      <c r="AT15" s="6" t="str">
        <f>HYPERLINK("http://www.worldcat.org/oclc/392265","WorldCat Record")</f>
        <v>WorldCat Record</v>
      </c>
      <c r="AU15" s="3" t="s">
        <v>147</v>
      </c>
      <c r="AV15" s="3" t="s">
        <v>148</v>
      </c>
      <c r="AW15" s="3" t="s">
        <v>149</v>
      </c>
      <c r="AX15" s="3" t="s">
        <v>149</v>
      </c>
      <c r="AY15" s="3" t="s">
        <v>150</v>
      </c>
      <c r="AZ15" s="3" t="s">
        <v>75</v>
      </c>
      <c r="BC15" s="3" t="s">
        <v>151</v>
      </c>
      <c r="BD15" s="3" t="s">
        <v>152</v>
      </c>
    </row>
    <row r="16" spans="1:56" ht="44.25" customHeight="1" x14ac:dyDescent="0.25">
      <c r="A16" s="7" t="s">
        <v>61</v>
      </c>
      <c r="B16" s="2" t="s">
        <v>138</v>
      </c>
      <c r="C16" s="2" t="s">
        <v>139</v>
      </c>
      <c r="D16" s="2" t="s">
        <v>140</v>
      </c>
      <c r="E16" s="3" t="s">
        <v>84</v>
      </c>
      <c r="F16" s="3" t="s">
        <v>59</v>
      </c>
      <c r="G16" s="3" t="s">
        <v>60</v>
      </c>
      <c r="H16" s="3" t="s">
        <v>61</v>
      </c>
      <c r="I16" s="3" t="s">
        <v>61</v>
      </c>
      <c r="J16" s="3" t="s">
        <v>62</v>
      </c>
      <c r="K16" s="2" t="s">
        <v>142</v>
      </c>
      <c r="L16" s="2" t="s">
        <v>143</v>
      </c>
      <c r="M16" s="3" t="s">
        <v>144</v>
      </c>
      <c r="N16" s="2" t="s">
        <v>145</v>
      </c>
      <c r="O16" s="3" t="s">
        <v>114</v>
      </c>
      <c r="P16" s="3" t="s">
        <v>115</v>
      </c>
      <c r="R16" s="3" t="s">
        <v>68</v>
      </c>
      <c r="S16" s="4">
        <v>1</v>
      </c>
      <c r="T16" s="4">
        <v>3</v>
      </c>
      <c r="U16" s="5" t="s">
        <v>146</v>
      </c>
      <c r="V16" s="5" t="s">
        <v>146</v>
      </c>
      <c r="W16" s="5" t="s">
        <v>131</v>
      </c>
      <c r="X16" s="5" t="s">
        <v>131</v>
      </c>
      <c r="Y16" s="4">
        <v>277</v>
      </c>
      <c r="Z16" s="4">
        <v>256</v>
      </c>
      <c r="AA16" s="4">
        <v>743</v>
      </c>
      <c r="AB16" s="4">
        <v>2</v>
      </c>
      <c r="AC16" s="4">
        <v>7</v>
      </c>
      <c r="AD16" s="4">
        <v>11</v>
      </c>
      <c r="AE16" s="4">
        <v>34</v>
      </c>
      <c r="AF16" s="4">
        <v>3</v>
      </c>
      <c r="AG16" s="4">
        <v>11</v>
      </c>
      <c r="AH16" s="4">
        <v>2</v>
      </c>
      <c r="AI16" s="4">
        <v>6</v>
      </c>
      <c r="AJ16" s="4">
        <v>7</v>
      </c>
      <c r="AK16" s="4">
        <v>18</v>
      </c>
      <c r="AL16" s="4">
        <v>1</v>
      </c>
      <c r="AM16" s="4">
        <v>6</v>
      </c>
      <c r="AN16" s="4">
        <v>0</v>
      </c>
      <c r="AO16" s="4">
        <v>1</v>
      </c>
      <c r="AP16" s="3" t="s">
        <v>61</v>
      </c>
      <c r="AQ16" s="3" t="s">
        <v>59</v>
      </c>
      <c r="AR16" s="6" t="str">
        <f>HYPERLINK("http://catalog.hathitrust.org/Record/006571346","HathiTrust Record")</f>
        <v>HathiTrust Record</v>
      </c>
      <c r="AS16" s="6" t="str">
        <f>HYPERLINK("https://creighton-primo.hosted.exlibrisgroup.com/primo-explore/search?tab=default_tab&amp;search_scope=EVERYTHING&amp;vid=01CRU&amp;lang=en_US&amp;offset=0&amp;query=any,contains,991002663639702656","Catalog Record")</f>
        <v>Catalog Record</v>
      </c>
      <c r="AT16" s="6" t="str">
        <f>HYPERLINK("http://www.worldcat.org/oclc/392265","WorldCat Record")</f>
        <v>WorldCat Record</v>
      </c>
      <c r="AU16" s="3" t="s">
        <v>147</v>
      </c>
      <c r="AV16" s="3" t="s">
        <v>148</v>
      </c>
      <c r="AW16" s="3" t="s">
        <v>149</v>
      </c>
      <c r="AX16" s="3" t="s">
        <v>149</v>
      </c>
      <c r="AY16" s="3" t="s">
        <v>150</v>
      </c>
      <c r="AZ16" s="3" t="s">
        <v>75</v>
      </c>
      <c r="BC16" s="3" t="s">
        <v>153</v>
      </c>
      <c r="BD16" s="3" t="s">
        <v>154</v>
      </c>
    </row>
    <row r="17" spans="1:56" ht="44.25" customHeight="1" x14ac:dyDescent="0.25">
      <c r="A17" s="7" t="s">
        <v>61</v>
      </c>
      <c r="B17" s="2" t="s">
        <v>155</v>
      </c>
      <c r="C17" s="2" t="s">
        <v>156</v>
      </c>
      <c r="D17" s="2" t="s">
        <v>157</v>
      </c>
      <c r="F17" s="3" t="s">
        <v>59</v>
      </c>
      <c r="G17" s="3" t="s">
        <v>60</v>
      </c>
      <c r="H17" s="3" t="s">
        <v>59</v>
      </c>
      <c r="I17" s="3" t="s">
        <v>61</v>
      </c>
      <c r="J17" s="3" t="s">
        <v>62</v>
      </c>
      <c r="K17" s="2" t="s">
        <v>142</v>
      </c>
      <c r="L17" s="2" t="s">
        <v>158</v>
      </c>
      <c r="M17" s="3" t="s">
        <v>159</v>
      </c>
      <c r="O17" s="3" t="s">
        <v>114</v>
      </c>
      <c r="P17" s="3" t="s">
        <v>160</v>
      </c>
      <c r="R17" s="3" t="s">
        <v>68</v>
      </c>
      <c r="S17" s="4">
        <v>3</v>
      </c>
      <c r="T17" s="4">
        <v>3</v>
      </c>
      <c r="U17" s="5" t="s">
        <v>161</v>
      </c>
      <c r="V17" s="5" t="s">
        <v>161</v>
      </c>
      <c r="W17" s="5" t="s">
        <v>162</v>
      </c>
      <c r="X17" s="5" t="s">
        <v>162</v>
      </c>
      <c r="Y17" s="4">
        <v>190</v>
      </c>
      <c r="Z17" s="4">
        <v>167</v>
      </c>
      <c r="AA17" s="4">
        <v>371</v>
      </c>
      <c r="AB17" s="4">
        <v>4</v>
      </c>
      <c r="AC17" s="4">
        <v>5</v>
      </c>
      <c r="AD17" s="4">
        <v>8</v>
      </c>
      <c r="AE17" s="4">
        <v>20</v>
      </c>
      <c r="AF17" s="4">
        <v>3</v>
      </c>
      <c r="AG17" s="4">
        <v>5</v>
      </c>
      <c r="AH17" s="4">
        <v>1</v>
      </c>
      <c r="AI17" s="4">
        <v>6</v>
      </c>
      <c r="AJ17" s="4">
        <v>3</v>
      </c>
      <c r="AK17" s="4">
        <v>9</v>
      </c>
      <c r="AL17" s="4">
        <v>3</v>
      </c>
      <c r="AM17" s="4">
        <v>4</v>
      </c>
      <c r="AN17" s="4">
        <v>0</v>
      </c>
      <c r="AO17" s="4">
        <v>1</v>
      </c>
      <c r="AP17" s="3" t="s">
        <v>59</v>
      </c>
      <c r="AQ17" s="3" t="s">
        <v>61</v>
      </c>
      <c r="AR17" s="6" t="str">
        <f>HYPERLINK("http://catalog.hathitrust.org/Record/008230849","HathiTrust Record")</f>
        <v>HathiTrust Record</v>
      </c>
      <c r="AS17" s="6" t="str">
        <f>HYPERLINK("https://creighton-primo.hosted.exlibrisgroup.com/primo-explore/search?tab=default_tab&amp;search_scope=EVERYTHING&amp;vid=01CRU&amp;lang=en_US&amp;offset=0&amp;query=any,contains,991003095289702656","Catalog Record")</f>
        <v>Catalog Record</v>
      </c>
      <c r="AT17" s="6" t="str">
        <f>HYPERLINK("http://www.worldcat.org/oclc/645050","WorldCat Record")</f>
        <v>WorldCat Record</v>
      </c>
      <c r="AU17" s="3" t="s">
        <v>163</v>
      </c>
      <c r="AV17" s="3" t="s">
        <v>164</v>
      </c>
      <c r="AW17" s="3" t="s">
        <v>165</v>
      </c>
      <c r="AX17" s="3" t="s">
        <v>165</v>
      </c>
      <c r="AY17" s="3" t="s">
        <v>166</v>
      </c>
      <c r="AZ17" s="3" t="s">
        <v>75</v>
      </c>
      <c r="BC17" s="3" t="s">
        <v>167</v>
      </c>
      <c r="BD17" s="3" t="s">
        <v>168</v>
      </c>
    </row>
    <row r="18" spans="1:56" ht="44.25" customHeight="1" x14ac:dyDescent="0.25">
      <c r="A18" s="7" t="s">
        <v>61</v>
      </c>
      <c r="B18" s="2" t="s">
        <v>169</v>
      </c>
      <c r="C18" s="2" t="s">
        <v>170</v>
      </c>
      <c r="D18" s="2" t="s">
        <v>157</v>
      </c>
      <c r="E18" s="3" t="s">
        <v>171</v>
      </c>
      <c r="F18" s="3" t="s">
        <v>59</v>
      </c>
      <c r="G18" s="3" t="s">
        <v>60</v>
      </c>
      <c r="H18" s="3" t="s">
        <v>61</v>
      </c>
      <c r="I18" s="3" t="s">
        <v>61</v>
      </c>
      <c r="J18" s="3" t="s">
        <v>62</v>
      </c>
      <c r="K18" s="2" t="s">
        <v>142</v>
      </c>
      <c r="L18" s="2" t="s">
        <v>158</v>
      </c>
      <c r="M18" s="3" t="s">
        <v>159</v>
      </c>
      <c r="O18" s="3" t="s">
        <v>114</v>
      </c>
      <c r="P18" s="3" t="s">
        <v>160</v>
      </c>
      <c r="R18" s="3" t="s">
        <v>68</v>
      </c>
      <c r="S18" s="4">
        <v>0</v>
      </c>
      <c r="T18" s="4">
        <v>3</v>
      </c>
      <c r="V18" s="5" t="s">
        <v>161</v>
      </c>
      <c r="W18" s="5" t="s">
        <v>162</v>
      </c>
      <c r="X18" s="5" t="s">
        <v>162</v>
      </c>
      <c r="Y18" s="4">
        <v>190</v>
      </c>
      <c r="Z18" s="4">
        <v>167</v>
      </c>
      <c r="AA18" s="4">
        <v>371</v>
      </c>
      <c r="AB18" s="4">
        <v>4</v>
      </c>
      <c r="AC18" s="4">
        <v>5</v>
      </c>
      <c r="AD18" s="4">
        <v>8</v>
      </c>
      <c r="AE18" s="4">
        <v>20</v>
      </c>
      <c r="AF18" s="4">
        <v>3</v>
      </c>
      <c r="AG18" s="4">
        <v>5</v>
      </c>
      <c r="AH18" s="4">
        <v>1</v>
      </c>
      <c r="AI18" s="4">
        <v>6</v>
      </c>
      <c r="AJ18" s="4">
        <v>3</v>
      </c>
      <c r="AK18" s="4">
        <v>9</v>
      </c>
      <c r="AL18" s="4">
        <v>3</v>
      </c>
      <c r="AM18" s="4">
        <v>4</v>
      </c>
      <c r="AN18" s="4">
        <v>0</v>
      </c>
      <c r="AO18" s="4">
        <v>1</v>
      </c>
      <c r="AP18" s="3" t="s">
        <v>59</v>
      </c>
      <c r="AQ18" s="3" t="s">
        <v>61</v>
      </c>
      <c r="AR18" s="6" t="str">
        <f>HYPERLINK("http://catalog.hathitrust.org/Record/008230849","HathiTrust Record")</f>
        <v>HathiTrust Record</v>
      </c>
      <c r="AS18" s="6" t="str">
        <f>HYPERLINK("https://creighton-primo.hosted.exlibrisgroup.com/primo-explore/search?tab=default_tab&amp;search_scope=EVERYTHING&amp;vid=01CRU&amp;lang=en_US&amp;offset=0&amp;query=any,contains,991003095289702656","Catalog Record")</f>
        <v>Catalog Record</v>
      </c>
      <c r="AT18" s="6" t="str">
        <f>HYPERLINK("http://www.worldcat.org/oclc/645050","WorldCat Record")</f>
        <v>WorldCat Record</v>
      </c>
      <c r="AU18" s="3" t="s">
        <v>163</v>
      </c>
      <c r="AV18" s="3" t="s">
        <v>164</v>
      </c>
      <c r="AW18" s="3" t="s">
        <v>165</v>
      </c>
      <c r="AX18" s="3" t="s">
        <v>165</v>
      </c>
      <c r="AY18" s="3" t="s">
        <v>166</v>
      </c>
      <c r="AZ18" s="3" t="s">
        <v>75</v>
      </c>
      <c r="BC18" s="3" t="s">
        <v>172</v>
      </c>
      <c r="BD18" s="3" t="s">
        <v>173</v>
      </c>
    </row>
    <row r="19" spans="1:56" ht="44.25" customHeight="1" x14ac:dyDescent="0.25">
      <c r="A19" s="7" t="s">
        <v>61</v>
      </c>
      <c r="B19" s="2" t="s">
        <v>174</v>
      </c>
      <c r="C19" s="2" t="s">
        <v>175</v>
      </c>
      <c r="D19" s="2" t="s">
        <v>176</v>
      </c>
      <c r="E19" s="3" t="s">
        <v>84</v>
      </c>
      <c r="F19" s="3" t="s">
        <v>59</v>
      </c>
      <c r="G19" s="3" t="s">
        <v>60</v>
      </c>
      <c r="H19" s="3" t="s">
        <v>61</v>
      </c>
      <c r="I19" s="3" t="s">
        <v>61</v>
      </c>
      <c r="J19" s="3" t="s">
        <v>62</v>
      </c>
      <c r="K19" s="2" t="s">
        <v>142</v>
      </c>
      <c r="L19" s="2" t="s">
        <v>177</v>
      </c>
      <c r="M19" s="3" t="s">
        <v>178</v>
      </c>
      <c r="O19" s="3" t="s">
        <v>114</v>
      </c>
      <c r="P19" s="3" t="s">
        <v>115</v>
      </c>
      <c r="R19" s="3" t="s">
        <v>68</v>
      </c>
      <c r="S19" s="4">
        <v>0</v>
      </c>
      <c r="T19" s="4">
        <v>2</v>
      </c>
      <c r="V19" s="5" t="s">
        <v>130</v>
      </c>
      <c r="W19" s="5" t="s">
        <v>131</v>
      </c>
      <c r="X19" s="5" t="s">
        <v>131</v>
      </c>
      <c r="Y19" s="4">
        <v>533</v>
      </c>
      <c r="Z19" s="4">
        <v>502</v>
      </c>
      <c r="AA19" s="4">
        <v>677</v>
      </c>
      <c r="AB19" s="4">
        <v>8</v>
      </c>
      <c r="AC19" s="4">
        <v>8</v>
      </c>
      <c r="AD19" s="4">
        <v>29</v>
      </c>
      <c r="AE19" s="4">
        <v>36</v>
      </c>
      <c r="AF19" s="4">
        <v>11</v>
      </c>
      <c r="AG19" s="4">
        <v>12</v>
      </c>
      <c r="AH19" s="4">
        <v>3</v>
      </c>
      <c r="AI19" s="4">
        <v>6</v>
      </c>
      <c r="AJ19" s="4">
        <v>13</v>
      </c>
      <c r="AK19" s="4">
        <v>17</v>
      </c>
      <c r="AL19" s="4">
        <v>6</v>
      </c>
      <c r="AM19" s="4">
        <v>6</v>
      </c>
      <c r="AN19" s="4">
        <v>0</v>
      </c>
      <c r="AO19" s="4">
        <v>1</v>
      </c>
      <c r="AP19" s="3" t="s">
        <v>59</v>
      </c>
      <c r="AQ19" s="3" t="s">
        <v>61</v>
      </c>
      <c r="AR19" s="6" t="str">
        <f>HYPERLINK("http://catalog.hathitrust.org/Record/000673906","HathiTrust Record")</f>
        <v>HathiTrust Record</v>
      </c>
      <c r="AS19" s="6" t="str">
        <f>HYPERLINK("https://creighton-primo.hosted.exlibrisgroup.com/primo-explore/search?tab=default_tab&amp;search_scope=EVERYTHING&amp;vid=01CRU&amp;lang=en_US&amp;offset=0&amp;query=any,contains,991002668809702656","Catalog Record")</f>
        <v>Catalog Record</v>
      </c>
      <c r="AT19" s="6" t="str">
        <f>HYPERLINK("http://www.worldcat.org/oclc/394439","WorldCat Record")</f>
        <v>WorldCat Record</v>
      </c>
      <c r="AU19" s="3" t="s">
        <v>179</v>
      </c>
      <c r="AV19" s="3" t="s">
        <v>180</v>
      </c>
      <c r="AW19" s="3" t="s">
        <v>181</v>
      </c>
      <c r="AX19" s="3" t="s">
        <v>181</v>
      </c>
      <c r="AY19" s="3" t="s">
        <v>182</v>
      </c>
      <c r="AZ19" s="3" t="s">
        <v>75</v>
      </c>
      <c r="BC19" s="3" t="s">
        <v>183</v>
      </c>
      <c r="BD19" s="3" t="s">
        <v>184</v>
      </c>
    </row>
    <row r="20" spans="1:56" ht="44.25" customHeight="1" x14ac:dyDescent="0.25">
      <c r="A20" s="7" t="s">
        <v>61</v>
      </c>
      <c r="B20" s="2" t="s">
        <v>174</v>
      </c>
      <c r="C20" s="2" t="s">
        <v>175</v>
      </c>
      <c r="D20" s="2" t="s">
        <v>176</v>
      </c>
      <c r="E20" s="3" t="s">
        <v>141</v>
      </c>
      <c r="F20" s="3" t="s">
        <v>59</v>
      </c>
      <c r="G20" s="3" t="s">
        <v>60</v>
      </c>
      <c r="H20" s="3" t="s">
        <v>61</v>
      </c>
      <c r="I20" s="3" t="s">
        <v>61</v>
      </c>
      <c r="J20" s="3" t="s">
        <v>62</v>
      </c>
      <c r="K20" s="2" t="s">
        <v>142</v>
      </c>
      <c r="L20" s="2" t="s">
        <v>177</v>
      </c>
      <c r="M20" s="3" t="s">
        <v>178</v>
      </c>
      <c r="O20" s="3" t="s">
        <v>114</v>
      </c>
      <c r="P20" s="3" t="s">
        <v>115</v>
      </c>
      <c r="R20" s="3" t="s">
        <v>68</v>
      </c>
      <c r="S20" s="4">
        <v>2</v>
      </c>
      <c r="T20" s="4">
        <v>2</v>
      </c>
      <c r="U20" s="5" t="s">
        <v>130</v>
      </c>
      <c r="V20" s="5" t="s">
        <v>130</v>
      </c>
      <c r="W20" s="5" t="s">
        <v>131</v>
      </c>
      <c r="X20" s="5" t="s">
        <v>131</v>
      </c>
      <c r="Y20" s="4">
        <v>533</v>
      </c>
      <c r="Z20" s="4">
        <v>502</v>
      </c>
      <c r="AA20" s="4">
        <v>677</v>
      </c>
      <c r="AB20" s="4">
        <v>8</v>
      </c>
      <c r="AC20" s="4">
        <v>8</v>
      </c>
      <c r="AD20" s="4">
        <v>29</v>
      </c>
      <c r="AE20" s="4">
        <v>36</v>
      </c>
      <c r="AF20" s="4">
        <v>11</v>
      </c>
      <c r="AG20" s="4">
        <v>12</v>
      </c>
      <c r="AH20" s="4">
        <v>3</v>
      </c>
      <c r="AI20" s="4">
        <v>6</v>
      </c>
      <c r="AJ20" s="4">
        <v>13</v>
      </c>
      <c r="AK20" s="4">
        <v>17</v>
      </c>
      <c r="AL20" s="4">
        <v>6</v>
      </c>
      <c r="AM20" s="4">
        <v>6</v>
      </c>
      <c r="AN20" s="4">
        <v>0</v>
      </c>
      <c r="AO20" s="4">
        <v>1</v>
      </c>
      <c r="AP20" s="3" t="s">
        <v>59</v>
      </c>
      <c r="AQ20" s="3" t="s">
        <v>61</v>
      </c>
      <c r="AR20" s="6" t="str">
        <f>HYPERLINK("http://catalog.hathitrust.org/Record/000673906","HathiTrust Record")</f>
        <v>HathiTrust Record</v>
      </c>
      <c r="AS20" s="6" t="str">
        <f>HYPERLINK("https://creighton-primo.hosted.exlibrisgroup.com/primo-explore/search?tab=default_tab&amp;search_scope=EVERYTHING&amp;vid=01CRU&amp;lang=en_US&amp;offset=0&amp;query=any,contains,991002668809702656","Catalog Record")</f>
        <v>Catalog Record</v>
      </c>
      <c r="AT20" s="6" t="str">
        <f>HYPERLINK("http://www.worldcat.org/oclc/394439","WorldCat Record")</f>
        <v>WorldCat Record</v>
      </c>
      <c r="AU20" s="3" t="s">
        <v>179</v>
      </c>
      <c r="AV20" s="3" t="s">
        <v>180</v>
      </c>
      <c r="AW20" s="3" t="s">
        <v>181</v>
      </c>
      <c r="AX20" s="3" t="s">
        <v>181</v>
      </c>
      <c r="AY20" s="3" t="s">
        <v>182</v>
      </c>
      <c r="AZ20" s="3" t="s">
        <v>75</v>
      </c>
      <c r="BC20" s="3" t="s">
        <v>185</v>
      </c>
      <c r="BD20" s="3" t="s">
        <v>186</v>
      </c>
    </row>
    <row r="21" spans="1:56" ht="44.25" customHeight="1" x14ac:dyDescent="0.25">
      <c r="A21" s="7" t="s">
        <v>61</v>
      </c>
      <c r="B21" s="2" t="s">
        <v>187</v>
      </c>
      <c r="C21" s="2" t="s">
        <v>188</v>
      </c>
      <c r="D21" s="2" t="s">
        <v>189</v>
      </c>
      <c r="F21" s="3" t="s">
        <v>61</v>
      </c>
      <c r="G21" s="3" t="s">
        <v>60</v>
      </c>
      <c r="H21" s="3" t="s">
        <v>61</v>
      </c>
      <c r="I21" s="3" t="s">
        <v>61</v>
      </c>
      <c r="J21" s="3" t="s">
        <v>62</v>
      </c>
      <c r="K21" s="2" t="s">
        <v>190</v>
      </c>
      <c r="L21" s="2" t="s">
        <v>191</v>
      </c>
      <c r="M21" s="3" t="s">
        <v>113</v>
      </c>
      <c r="O21" s="3" t="s">
        <v>114</v>
      </c>
      <c r="P21" s="3" t="s">
        <v>192</v>
      </c>
      <c r="R21" s="3" t="s">
        <v>68</v>
      </c>
      <c r="S21" s="4">
        <v>2</v>
      </c>
      <c r="T21" s="4">
        <v>2</v>
      </c>
      <c r="U21" s="5" t="s">
        <v>193</v>
      </c>
      <c r="V21" s="5" t="s">
        <v>193</v>
      </c>
      <c r="W21" s="5" t="s">
        <v>131</v>
      </c>
      <c r="X21" s="5" t="s">
        <v>131</v>
      </c>
      <c r="Y21" s="4">
        <v>151</v>
      </c>
      <c r="Z21" s="4">
        <v>112</v>
      </c>
      <c r="AA21" s="4">
        <v>601</v>
      </c>
      <c r="AB21" s="4">
        <v>2</v>
      </c>
      <c r="AC21" s="4">
        <v>2</v>
      </c>
      <c r="AD21" s="4">
        <v>6</v>
      </c>
      <c r="AE21" s="4">
        <v>25</v>
      </c>
      <c r="AF21" s="4">
        <v>3</v>
      </c>
      <c r="AG21" s="4">
        <v>8</v>
      </c>
      <c r="AH21" s="4">
        <v>1</v>
      </c>
      <c r="AI21" s="4">
        <v>9</v>
      </c>
      <c r="AJ21" s="4">
        <v>3</v>
      </c>
      <c r="AK21" s="4">
        <v>16</v>
      </c>
      <c r="AL21" s="4">
        <v>1</v>
      </c>
      <c r="AM21" s="4">
        <v>1</v>
      </c>
      <c r="AN21" s="4">
        <v>0</v>
      </c>
      <c r="AO21" s="4">
        <v>0</v>
      </c>
      <c r="AP21" s="3" t="s">
        <v>61</v>
      </c>
      <c r="AQ21" s="3" t="s">
        <v>59</v>
      </c>
      <c r="AR21" s="6" t="str">
        <f>HYPERLINK("http://catalog.hathitrust.org/Record/001432939","HathiTrust Record")</f>
        <v>HathiTrust Record</v>
      </c>
      <c r="AS21" s="6" t="str">
        <f>HYPERLINK("https://creighton-primo.hosted.exlibrisgroup.com/primo-explore/search?tab=default_tab&amp;search_scope=EVERYTHING&amp;vid=01CRU&amp;lang=en_US&amp;offset=0&amp;query=any,contains,991004673629702656","Catalog Record")</f>
        <v>Catalog Record</v>
      </c>
      <c r="AT21" s="6" t="str">
        <f>HYPERLINK("http://www.worldcat.org/oclc/4524471","WorldCat Record")</f>
        <v>WorldCat Record</v>
      </c>
      <c r="AU21" s="3" t="s">
        <v>194</v>
      </c>
      <c r="AV21" s="3" t="s">
        <v>195</v>
      </c>
      <c r="AW21" s="3" t="s">
        <v>196</v>
      </c>
      <c r="AX21" s="3" t="s">
        <v>196</v>
      </c>
      <c r="AY21" s="3" t="s">
        <v>197</v>
      </c>
      <c r="AZ21" s="3" t="s">
        <v>75</v>
      </c>
      <c r="BC21" s="3" t="s">
        <v>198</v>
      </c>
      <c r="BD21" s="3" t="s">
        <v>199</v>
      </c>
    </row>
    <row r="22" spans="1:56" ht="44.25" customHeight="1" x14ac:dyDescent="0.25">
      <c r="A22" s="7" t="s">
        <v>61</v>
      </c>
      <c r="B22" s="2" t="s">
        <v>200</v>
      </c>
      <c r="C22" s="2" t="s">
        <v>201</v>
      </c>
      <c r="D22" s="2" t="s">
        <v>202</v>
      </c>
      <c r="F22" s="3" t="s">
        <v>61</v>
      </c>
      <c r="G22" s="3" t="s">
        <v>60</v>
      </c>
      <c r="H22" s="3" t="s">
        <v>61</v>
      </c>
      <c r="I22" s="3" t="s">
        <v>61</v>
      </c>
      <c r="J22" s="3" t="s">
        <v>62</v>
      </c>
      <c r="K22" s="2" t="s">
        <v>203</v>
      </c>
      <c r="L22" s="2" t="s">
        <v>204</v>
      </c>
      <c r="M22" s="3" t="s">
        <v>205</v>
      </c>
      <c r="O22" s="3" t="s">
        <v>114</v>
      </c>
      <c r="P22" s="3" t="s">
        <v>206</v>
      </c>
      <c r="R22" s="3" t="s">
        <v>68</v>
      </c>
      <c r="S22" s="4">
        <v>2</v>
      </c>
      <c r="T22" s="4">
        <v>2</v>
      </c>
      <c r="U22" s="5" t="s">
        <v>207</v>
      </c>
      <c r="V22" s="5" t="s">
        <v>207</v>
      </c>
      <c r="W22" s="5" t="s">
        <v>162</v>
      </c>
      <c r="X22" s="5" t="s">
        <v>162</v>
      </c>
      <c r="Y22" s="4">
        <v>218</v>
      </c>
      <c r="Z22" s="4">
        <v>185</v>
      </c>
      <c r="AA22" s="4">
        <v>187</v>
      </c>
      <c r="AB22" s="4">
        <v>2</v>
      </c>
      <c r="AC22" s="4">
        <v>2</v>
      </c>
      <c r="AD22" s="4">
        <v>6</v>
      </c>
      <c r="AE22" s="4">
        <v>6</v>
      </c>
      <c r="AF22" s="4">
        <v>2</v>
      </c>
      <c r="AG22" s="4">
        <v>2</v>
      </c>
      <c r="AH22" s="4">
        <v>3</v>
      </c>
      <c r="AI22" s="4">
        <v>3</v>
      </c>
      <c r="AJ22" s="4">
        <v>3</v>
      </c>
      <c r="AK22" s="4">
        <v>3</v>
      </c>
      <c r="AL22" s="4">
        <v>1</v>
      </c>
      <c r="AM22" s="4">
        <v>1</v>
      </c>
      <c r="AN22" s="4">
        <v>0</v>
      </c>
      <c r="AO22" s="4">
        <v>0</v>
      </c>
      <c r="AP22" s="3" t="s">
        <v>61</v>
      </c>
      <c r="AQ22" s="3" t="s">
        <v>59</v>
      </c>
      <c r="AR22" s="6" t="str">
        <f>HYPERLINK("http://catalog.hathitrust.org/Record/000335585","HathiTrust Record")</f>
        <v>HathiTrust Record</v>
      </c>
      <c r="AS22" s="6" t="str">
        <f>HYPERLINK("https://creighton-primo.hosted.exlibrisgroup.com/primo-explore/search?tab=default_tab&amp;search_scope=EVERYTHING&amp;vid=01CRU&amp;lang=en_US&amp;offset=0&amp;query=any,contains,991000462199702656","Catalog Record")</f>
        <v>Catalog Record</v>
      </c>
      <c r="AT22" s="6" t="str">
        <f>HYPERLINK("http://www.worldcat.org/oclc/10948497","WorldCat Record")</f>
        <v>WorldCat Record</v>
      </c>
      <c r="AU22" s="3" t="s">
        <v>208</v>
      </c>
      <c r="AV22" s="3" t="s">
        <v>209</v>
      </c>
      <c r="AW22" s="3" t="s">
        <v>210</v>
      </c>
      <c r="AX22" s="3" t="s">
        <v>210</v>
      </c>
      <c r="AY22" s="3" t="s">
        <v>211</v>
      </c>
      <c r="AZ22" s="3" t="s">
        <v>75</v>
      </c>
      <c r="BB22" s="3" t="s">
        <v>212</v>
      </c>
      <c r="BC22" s="3" t="s">
        <v>213</v>
      </c>
      <c r="BD22" s="3" t="s">
        <v>214</v>
      </c>
    </row>
    <row r="23" spans="1:56" ht="44.25" customHeight="1" x14ac:dyDescent="0.25">
      <c r="A23" s="7" t="s">
        <v>61</v>
      </c>
      <c r="B23" s="2" t="s">
        <v>215</v>
      </c>
      <c r="C23" s="2" t="s">
        <v>216</v>
      </c>
      <c r="D23" s="2" t="s">
        <v>217</v>
      </c>
      <c r="F23" s="3" t="s">
        <v>61</v>
      </c>
      <c r="G23" s="3" t="s">
        <v>60</v>
      </c>
      <c r="H23" s="3" t="s">
        <v>61</v>
      </c>
      <c r="I23" s="3" t="s">
        <v>61</v>
      </c>
      <c r="J23" s="3" t="s">
        <v>62</v>
      </c>
      <c r="K23" s="2" t="s">
        <v>218</v>
      </c>
      <c r="L23" s="2" t="s">
        <v>219</v>
      </c>
      <c r="M23" s="3" t="s">
        <v>220</v>
      </c>
      <c r="O23" s="3" t="s">
        <v>114</v>
      </c>
      <c r="P23" s="3" t="s">
        <v>192</v>
      </c>
      <c r="R23" s="3" t="s">
        <v>68</v>
      </c>
      <c r="S23" s="4">
        <v>1</v>
      </c>
      <c r="T23" s="4">
        <v>1</v>
      </c>
      <c r="U23" s="5" t="s">
        <v>221</v>
      </c>
      <c r="V23" s="5" t="s">
        <v>221</v>
      </c>
      <c r="W23" s="5" t="s">
        <v>221</v>
      </c>
      <c r="X23" s="5" t="s">
        <v>221</v>
      </c>
      <c r="Y23" s="4">
        <v>204</v>
      </c>
      <c r="Z23" s="4">
        <v>151</v>
      </c>
      <c r="AA23" s="4">
        <v>178</v>
      </c>
      <c r="AB23" s="4">
        <v>1</v>
      </c>
      <c r="AC23" s="4">
        <v>1</v>
      </c>
      <c r="AD23" s="4">
        <v>6</v>
      </c>
      <c r="AE23" s="4">
        <v>6</v>
      </c>
      <c r="AF23" s="4">
        <v>1</v>
      </c>
      <c r="AG23" s="4">
        <v>1</v>
      </c>
      <c r="AH23" s="4">
        <v>3</v>
      </c>
      <c r="AI23" s="4">
        <v>3</v>
      </c>
      <c r="AJ23" s="4">
        <v>5</v>
      </c>
      <c r="AK23" s="4">
        <v>5</v>
      </c>
      <c r="AL23" s="4">
        <v>0</v>
      </c>
      <c r="AM23" s="4">
        <v>0</v>
      </c>
      <c r="AN23" s="4">
        <v>0</v>
      </c>
      <c r="AO23" s="4">
        <v>0</v>
      </c>
      <c r="AP23" s="3" t="s">
        <v>61</v>
      </c>
      <c r="AQ23" s="3" t="s">
        <v>61</v>
      </c>
      <c r="AS23" s="6" t="str">
        <f>HYPERLINK("https://creighton-primo.hosted.exlibrisgroup.com/primo-explore/search?tab=default_tab&amp;search_scope=EVERYTHING&amp;vid=01CRU&amp;lang=en_US&amp;offset=0&amp;query=any,contains,991004347759702656","Catalog Record")</f>
        <v>Catalog Record</v>
      </c>
      <c r="AT23" s="6" t="str">
        <f>HYPERLINK("http://www.worldcat.org/oclc/48248914","WorldCat Record")</f>
        <v>WorldCat Record</v>
      </c>
      <c r="AU23" s="3" t="s">
        <v>222</v>
      </c>
      <c r="AV23" s="3" t="s">
        <v>223</v>
      </c>
      <c r="AW23" s="3" t="s">
        <v>224</v>
      </c>
      <c r="AX23" s="3" t="s">
        <v>224</v>
      </c>
      <c r="AY23" s="3" t="s">
        <v>225</v>
      </c>
      <c r="AZ23" s="3" t="s">
        <v>75</v>
      </c>
      <c r="BB23" s="3" t="s">
        <v>226</v>
      </c>
      <c r="BC23" s="3" t="s">
        <v>227</v>
      </c>
      <c r="BD23" s="3" t="s">
        <v>228</v>
      </c>
    </row>
    <row r="24" spans="1:56" ht="44.25" customHeight="1" x14ac:dyDescent="0.25">
      <c r="A24" s="7" t="s">
        <v>61</v>
      </c>
      <c r="B24" s="2" t="s">
        <v>229</v>
      </c>
      <c r="C24" s="2" t="s">
        <v>230</v>
      </c>
      <c r="D24" s="2" t="s">
        <v>231</v>
      </c>
      <c r="F24" s="3" t="s">
        <v>61</v>
      </c>
      <c r="G24" s="3" t="s">
        <v>60</v>
      </c>
      <c r="H24" s="3" t="s">
        <v>61</v>
      </c>
      <c r="I24" s="3" t="s">
        <v>61</v>
      </c>
      <c r="J24" s="3" t="s">
        <v>62</v>
      </c>
      <c r="K24" s="2" t="s">
        <v>232</v>
      </c>
      <c r="L24" s="2" t="s">
        <v>233</v>
      </c>
      <c r="M24" s="3" t="s">
        <v>234</v>
      </c>
      <c r="O24" s="3" t="s">
        <v>114</v>
      </c>
      <c r="P24" s="3" t="s">
        <v>235</v>
      </c>
      <c r="R24" s="3" t="s">
        <v>68</v>
      </c>
      <c r="S24" s="4">
        <v>5</v>
      </c>
      <c r="T24" s="4">
        <v>5</v>
      </c>
      <c r="U24" s="5" t="s">
        <v>236</v>
      </c>
      <c r="V24" s="5" t="s">
        <v>236</v>
      </c>
      <c r="W24" s="5" t="s">
        <v>237</v>
      </c>
      <c r="X24" s="5" t="s">
        <v>237</v>
      </c>
      <c r="Y24" s="4">
        <v>1093</v>
      </c>
      <c r="Z24" s="4">
        <v>1000</v>
      </c>
      <c r="AA24" s="4">
        <v>1180</v>
      </c>
      <c r="AB24" s="4">
        <v>4</v>
      </c>
      <c r="AC24" s="4">
        <v>6</v>
      </c>
      <c r="AD24" s="4">
        <v>29</v>
      </c>
      <c r="AE24" s="4">
        <v>36</v>
      </c>
      <c r="AF24" s="4">
        <v>12</v>
      </c>
      <c r="AG24" s="4">
        <v>14</v>
      </c>
      <c r="AH24" s="4">
        <v>6</v>
      </c>
      <c r="AI24" s="4">
        <v>8</v>
      </c>
      <c r="AJ24" s="4">
        <v>16</v>
      </c>
      <c r="AK24" s="4">
        <v>18</v>
      </c>
      <c r="AL24" s="4">
        <v>2</v>
      </c>
      <c r="AM24" s="4">
        <v>4</v>
      </c>
      <c r="AN24" s="4">
        <v>0</v>
      </c>
      <c r="AO24" s="4">
        <v>0</v>
      </c>
      <c r="AP24" s="3" t="s">
        <v>61</v>
      </c>
      <c r="AQ24" s="3" t="s">
        <v>59</v>
      </c>
      <c r="AR24" s="6" t="str">
        <f>HYPERLINK("http://catalog.hathitrust.org/Record/000197017","HathiTrust Record")</f>
        <v>HathiTrust Record</v>
      </c>
      <c r="AS24" s="6" t="str">
        <f>HYPERLINK("https://creighton-primo.hosted.exlibrisgroup.com/primo-explore/search?tab=default_tab&amp;search_scope=EVERYTHING&amp;vid=01CRU&amp;lang=en_US&amp;offset=0&amp;query=any,contains,991000130669702656","Catalog Record")</f>
        <v>Catalog Record</v>
      </c>
      <c r="AT24" s="6" t="str">
        <f>HYPERLINK("http://www.worldcat.org/oclc/9111142","WorldCat Record")</f>
        <v>WorldCat Record</v>
      </c>
      <c r="AU24" s="3" t="s">
        <v>238</v>
      </c>
      <c r="AV24" s="3" t="s">
        <v>239</v>
      </c>
      <c r="AW24" s="3" t="s">
        <v>240</v>
      </c>
      <c r="AX24" s="3" t="s">
        <v>240</v>
      </c>
      <c r="AY24" s="3" t="s">
        <v>241</v>
      </c>
      <c r="AZ24" s="3" t="s">
        <v>75</v>
      </c>
      <c r="BB24" s="3" t="s">
        <v>242</v>
      </c>
      <c r="BC24" s="3" t="s">
        <v>243</v>
      </c>
      <c r="BD24" s="3" t="s">
        <v>244</v>
      </c>
    </row>
    <row r="25" spans="1:56" ht="44.25" customHeight="1" x14ac:dyDescent="0.25">
      <c r="A25" s="7" t="s">
        <v>61</v>
      </c>
      <c r="B25" s="2" t="s">
        <v>245</v>
      </c>
      <c r="C25" s="2" t="s">
        <v>246</v>
      </c>
      <c r="D25" s="2" t="s">
        <v>247</v>
      </c>
      <c r="F25" s="3" t="s">
        <v>61</v>
      </c>
      <c r="G25" s="3" t="s">
        <v>60</v>
      </c>
      <c r="H25" s="3" t="s">
        <v>61</v>
      </c>
      <c r="I25" s="3" t="s">
        <v>61</v>
      </c>
      <c r="J25" s="3" t="s">
        <v>62</v>
      </c>
      <c r="L25" s="2" t="s">
        <v>248</v>
      </c>
      <c r="M25" s="3" t="s">
        <v>249</v>
      </c>
      <c r="O25" s="3" t="s">
        <v>114</v>
      </c>
      <c r="P25" s="3" t="s">
        <v>192</v>
      </c>
      <c r="R25" s="3" t="s">
        <v>68</v>
      </c>
      <c r="S25" s="4">
        <v>10</v>
      </c>
      <c r="T25" s="4">
        <v>10</v>
      </c>
      <c r="U25" s="5" t="s">
        <v>250</v>
      </c>
      <c r="V25" s="5" t="s">
        <v>250</v>
      </c>
      <c r="W25" s="5" t="s">
        <v>251</v>
      </c>
      <c r="X25" s="5" t="s">
        <v>251</v>
      </c>
      <c r="Y25" s="4">
        <v>195</v>
      </c>
      <c r="Z25" s="4">
        <v>105</v>
      </c>
      <c r="AA25" s="4">
        <v>106</v>
      </c>
      <c r="AB25" s="4">
        <v>1</v>
      </c>
      <c r="AC25" s="4">
        <v>1</v>
      </c>
      <c r="AD25" s="4">
        <v>5</v>
      </c>
      <c r="AE25" s="4">
        <v>5</v>
      </c>
      <c r="AF25" s="4">
        <v>1</v>
      </c>
      <c r="AG25" s="4">
        <v>1</v>
      </c>
      <c r="AH25" s="4">
        <v>2</v>
      </c>
      <c r="AI25" s="4">
        <v>2</v>
      </c>
      <c r="AJ25" s="4">
        <v>5</v>
      </c>
      <c r="AK25" s="4">
        <v>5</v>
      </c>
      <c r="AL25" s="4">
        <v>0</v>
      </c>
      <c r="AM25" s="4">
        <v>0</v>
      </c>
      <c r="AN25" s="4">
        <v>0</v>
      </c>
      <c r="AO25" s="4">
        <v>0</v>
      </c>
      <c r="AP25" s="3" t="s">
        <v>61</v>
      </c>
      <c r="AQ25" s="3" t="s">
        <v>59</v>
      </c>
      <c r="AR25" s="6" t="str">
        <f>HYPERLINK("http://catalog.hathitrust.org/Record/002720116","HathiTrust Record")</f>
        <v>HathiTrust Record</v>
      </c>
      <c r="AS25" s="6" t="str">
        <f>HYPERLINK("https://creighton-primo.hosted.exlibrisgroup.com/primo-explore/search?tab=default_tab&amp;search_scope=EVERYTHING&amp;vid=01CRU&amp;lang=en_US&amp;offset=0&amp;query=any,contains,991005416799702656","Catalog Record")</f>
        <v>Catalog Record</v>
      </c>
      <c r="AT25" s="6" t="str">
        <f>HYPERLINK("http://www.worldcat.org/oclc/27897113","WorldCat Record")</f>
        <v>WorldCat Record</v>
      </c>
      <c r="AU25" s="3" t="s">
        <v>252</v>
      </c>
      <c r="AV25" s="3" t="s">
        <v>253</v>
      </c>
      <c r="AW25" s="3" t="s">
        <v>254</v>
      </c>
      <c r="AX25" s="3" t="s">
        <v>254</v>
      </c>
      <c r="AY25" s="3" t="s">
        <v>255</v>
      </c>
      <c r="AZ25" s="3" t="s">
        <v>75</v>
      </c>
      <c r="BB25" s="3" t="s">
        <v>256</v>
      </c>
      <c r="BC25" s="3" t="s">
        <v>257</v>
      </c>
      <c r="BD25" s="3" t="s">
        <v>258</v>
      </c>
    </row>
    <row r="26" spans="1:56" ht="44.25" customHeight="1" x14ac:dyDescent="0.25">
      <c r="A26" s="7" t="s">
        <v>61</v>
      </c>
      <c r="B26" s="2" t="s">
        <v>259</v>
      </c>
      <c r="C26" s="2" t="s">
        <v>260</v>
      </c>
      <c r="D26" s="2" t="s">
        <v>261</v>
      </c>
      <c r="F26" s="3" t="s">
        <v>61</v>
      </c>
      <c r="G26" s="3" t="s">
        <v>60</v>
      </c>
      <c r="H26" s="3" t="s">
        <v>61</v>
      </c>
      <c r="I26" s="3" t="s">
        <v>61</v>
      </c>
      <c r="J26" s="3" t="s">
        <v>62</v>
      </c>
      <c r="L26" s="2" t="s">
        <v>262</v>
      </c>
      <c r="M26" s="3" t="s">
        <v>263</v>
      </c>
      <c r="O26" s="3" t="s">
        <v>114</v>
      </c>
      <c r="P26" s="3" t="s">
        <v>235</v>
      </c>
      <c r="R26" s="3" t="s">
        <v>68</v>
      </c>
      <c r="S26" s="4">
        <v>6</v>
      </c>
      <c r="T26" s="4">
        <v>6</v>
      </c>
      <c r="U26" s="5" t="s">
        <v>264</v>
      </c>
      <c r="V26" s="5" t="s">
        <v>264</v>
      </c>
      <c r="W26" s="5" t="s">
        <v>265</v>
      </c>
      <c r="X26" s="5" t="s">
        <v>265</v>
      </c>
      <c r="Y26" s="4">
        <v>660</v>
      </c>
      <c r="Z26" s="4">
        <v>486</v>
      </c>
      <c r="AA26" s="4">
        <v>629</v>
      </c>
      <c r="AB26" s="4">
        <v>3</v>
      </c>
      <c r="AC26" s="4">
        <v>5</v>
      </c>
      <c r="AD26" s="4">
        <v>27</v>
      </c>
      <c r="AE26" s="4">
        <v>35</v>
      </c>
      <c r="AF26" s="4">
        <v>11</v>
      </c>
      <c r="AG26" s="4">
        <v>15</v>
      </c>
      <c r="AH26" s="4">
        <v>8</v>
      </c>
      <c r="AI26" s="4">
        <v>9</v>
      </c>
      <c r="AJ26" s="4">
        <v>12</v>
      </c>
      <c r="AK26" s="4">
        <v>14</v>
      </c>
      <c r="AL26" s="4">
        <v>2</v>
      </c>
      <c r="AM26" s="4">
        <v>4</v>
      </c>
      <c r="AN26" s="4">
        <v>0</v>
      </c>
      <c r="AO26" s="4">
        <v>0</v>
      </c>
      <c r="AP26" s="3" t="s">
        <v>61</v>
      </c>
      <c r="AQ26" s="3" t="s">
        <v>59</v>
      </c>
      <c r="AR26" s="6" t="str">
        <f>HYPERLINK("http://catalog.hathitrust.org/Record/000270113","HathiTrust Record")</f>
        <v>HathiTrust Record</v>
      </c>
      <c r="AS26" s="6" t="str">
        <f>HYPERLINK("https://creighton-primo.hosted.exlibrisgroup.com/primo-explore/search?tab=default_tab&amp;search_scope=EVERYTHING&amp;vid=01CRU&amp;lang=en_US&amp;offset=0&amp;query=any,contains,991005242589702656","Catalog Record")</f>
        <v>Catalog Record</v>
      </c>
      <c r="AT26" s="6" t="str">
        <f>HYPERLINK("http://www.worldcat.org/oclc/8430938","WorldCat Record")</f>
        <v>WorldCat Record</v>
      </c>
      <c r="AU26" s="3" t="s">
        <v>266</v>
      </c>
      <c r="AV26" s="3" t="s">
        <v>267</v>
      </c>
      <c r="AW26" s="3" t="s">
        <v>268</v>
      </c>
      <c r="AX26" s="3" t="s">
        <v>268</v>
      </c>
      <c r="AY26" s="3" t="s">
        <v>269</v>
      </c>
      <c r="AZ26" s="3" t="s">
        <v>75</v>
      </c>
      <c r="BB26" s="3" t="s">
        <v>270</v>
      </c>
      <c r="BC26" s="3" t="s">
        <v>271</v>
      </c>
      <c r="BD26" s="3" t="s">
        <v>272</v>
      </c>
    </row>
    <row r="27" spans="1:56" ht="44.25" customHeight="1" x14ac:dyDescent="0.25">
      <c r="A27" s="7" t="s">
        <v>61</v>
      </c>
      <c r="B27" s="2" t="s">
        <v>273</v>
      </c>
      <c r="C27" s="2" t="s">
        <v>274</v>
      </c>
      <c r="D27" s="2" t="s">
        <v>275</v>
      </c>
      <c r="F27" s="3" t="s">
        <v>61</v>
      </c>
      <c r="G27" s="3" t="s">
        <v>60</v>
      </c>
      <c r="H27" s="3" t="s">
        <v>61</v>
      </c>
      <c r="I27" s="3" t="s">
        <v>61</v>
      </c>
      <c r="J27" s="3" t="s">
        <v>62</v>
      </c>
      <c r="L27" s="2" t="s">
        <v>276</v>
      </c>
      <c r="M27" s="3" t="s">
        <v>249</v>
      </c>
      <c r="O27" s="3" t="s">
        <v>114</v>
      </c>
      <c r="P27" s="3" t="s">
        <v>192</v>
      </c>
      <c r="Q27" s="2" t="s">
        <v>277</v>
      </c>
      <c r="R27" s="3" t="s">
        <v>68</v>
      </c>
      <c r="S27" s="4">
        <v>6</v>
      </c>
      <c r="T27" s="4">
        <v>6</v>
      </c>
      <c r="U27" s="5" t="s">
        <v>278</v>
      </c>
      <c r="V27" s="5" t="s">
        <v>278</v>
      </c>
      <c r="W27" s="5" t="s">
        <v>279</v>
      </c>
      <c r="X27" s="5" t="s">
        <v>279</v>
      </c>
      <c r="Y27" s="4">
        <v>402</v>
      </c>
      <c r="Z27" s="4">
        <v>229</v>
      </c>
      <c r="AA27" s="4">
        <v>254</v>
      </c>
      <c r="AB27" s="4">
        <v>2</v>
      </c>
      <c r="AC27" s="4">
        <v>2</v>
      </c>
      <c r="AD27" s="4">
        <v>11</v>
      </c>
      <c r="AE27" s="4">
        <v>11</v>
      </c>
      <c r="AF27" s="4">
        <v>3</v>
      </c>
      <c r="AG27" s="4">
        <v>3</v>
      </c>
      <c r="AH27" s="4">
        <v>4</v>
      </c>
      <c r="AI27" s="4">
        <v>4</v>
      </c>
      <c r="AJ27" s="4">
        <v>7</v>
      </c>
      <c r="AK27" s="4">
        <v>7</v>
      </c>
      <c r="AL27" s="4">
        <v>1</v>
      </c>
      <c r="AM27" s="4">
        <v>1</v>
      </c>
      <c r="AN27" s="4">
        <v>0</v>
      </c>
      <c r="AO27" s="4">
        <v>0</v>
      </c>
      <c r="AP27" s="3" t="s">
        <v>61</v>
      </c>
      <c r="AQ27" s="3" t="s">
        <v>59</v>
      </c>
      <c r="AR27" s="6" t="str">
        <f>HYPERLINK("http://catalog.hathitrust.org/Record/002710254","HathiTrust Record")</f>
        <v>HathiTrust Record</v>
      </c>
      <c r="AS27" s="6" t="str">
        <f>HYPERLINK("https://creighton-primo.hosted.exlibrisgroup.com/primo-explore/search?tab=default_tab&amp;search_scope=EVERYTHING&amp;vid=01CRU&amp;lang=en_US&amp;offset=0&amp;query=any,contains,991002028679702656","Catalog Record")</f>
        <v>Catalog Record</v>
      </c>
      <c r="AT27" s="6" t="str">
        <f>HYPERLINK("http://www.worldcat.org/oclc/25831986","WorldCat Record")</f>
        <v>WorldCat Record</v>
      </c>
      <c r="AU27" s="3" t="s">
        <v>280</v>
      </c>
      <c r="AV27" s="3" t="s">
        <v>281</v>
      </c>
      <c r="AW27" s="3" t="s">
        <v>282</v>
      </c>
      <c r="AX27" s="3" t="s">
        <v>282</v>
      </c>
      <c r="AY27" s="3" t="s">
        <v>283</v>
      </c>
      <c r="AZ27" s="3" t="s">
        <v>75</v>
      </c>
      <c r="BB27" s="3" t="s">
        <v>284</v>
      </c>
      <c r="BC27" s="3" t="s">
        <v>285</v>
      </c>
      <c r="BD27" s="3" t="s">
        <v>286</v>
      </c>
    </row>
    <row r="28" spans="1:56" ht="44.25" customHeight="1" x14ac:dyDescent="0.25">
      <c r="A28" s="7" t="s">
        <v>61</v>
      </c>
      <c r="B28" s="2" t="s">
        <v>287</v>
      </c>
      <c r="C28" s="2" t="s">
        <v>288</v>
      </c>
      <c r="D28" s="2" t="s">
        <v>289</v>
      </c>
      <c r="F28" s="3" t="s">
        <v>61</v>
      </c>
      <c r="G28" s="3" t="s">
        <v>60</v>
      </c>
      <c r="H28" s="3" t="s">
        <v>61</v>
      </c>
      <c r="I28" s="3" t="s">
        <v>61</v>
      </c>
      <c r="J28" s="3" t="s">
        <v>62</v>
      </c>
      <c r="L28" s="2" t="s">
        <v>290</v>
      </c>
      <c r="M28" s="3" t="s">
        <v>291</v>
      </c>
      <c r="O28" s="3" t="s">
        <v>114</v>
      </c>
      <c r="P28" s="3" t="s">
        <v>235</v>
      </c>
      <c r="R28" s="3" t="s">
        <v>68</v>
      </c>
      <c r="S28" s="4">
        <v>3</v>
      </c>
      <c r="T28" s="4">
        <v>3</v>
      </c>
      <c r="U28" s="5" t="s">
        <v>292</v>
      </c>
      <c r="V28" s="5" t="s">
        <v>292</v>
      </c>
      <c r="W28" s="5" t="s">
        <v>265</v>
      </c>
      <c r="X28" s="5" t="s">
        <v>265</v>
      </c>
      <c r="Y28" s="4">
        <v>492</v>
      </c>
      <c r="Z28" s="4">
        <v>401</v>
      </c>
      <c r="AA28" s="4">
        <v>402</v>
      </c>
      <c r="AB28" s="4">
        <v>4</v>
      </c>
      <c r="AC28" s="4">
        <v>4</v>
      </c>
      <c r="AD28" s="4">
        <v>21</v>
      </c>
      <c r="AE28" s="4">
        <v>21</v>
      </c>
      <c r="AF28" s="4">
        <v>6</v>
      </c>
      <c r="AG28" s="4">
        <v>6</v>
      </c>
      <c r="AH28" s="4">
        <v>8</v>
      </c>
      <c r="AI28" s="4">
        <v>8</v>
      </c>
      <c r="AJ28" s="4">
        <v>8</v>
      </c>
      <c r="AK28" s="4">
        <v>8</v>
      </c>
      <c r="AL28" s="4">
        <v>3</v>
      </c>
      <c r="AM28" s="4">
        <v>3</v>
      </c>
      <c r="AN28" s="4">
        <v>1</v>
      </c>
      <c r="AO28" s="4">
        <v>1</v>
      </c>
      <c r="AP28" s="3" t="s">
        <v>61</v>
      </c>
      <c r="AQ28" s="3" t="s">
        <v>59</v>
      </c>
      <c r="AR28" s="6" t="str">
        <f>HYPERLINK("http://catalog.hathitrust.org/Record/000709707","HathiTrust Record")</f>
        <v>HathiTrust Record</v>
      </c>
      <c r="AS28" s="6" t="str">
        <f>HYPERLINK("https://creighton-primo.hosted.exlibrisgroup.com/primo-explore/search?tab=default_tab&amp;search_scope=EVERYTHING&amp;vid=01CRU&amp;lang=en_US&amp;offset=0&amp;query=any,contains,991005020219702656","Catalog Record")</f>
        <v>Catalog Record</v>
      </c>
      <c r="AT28" s="6" t="str">
        <f>HYPERLINK("http://www.worldcat.org/oclc/6648925","WorldCat Record")</f>
        <v>WorldCat Record</v>
      </c>
      <c r="AU28" s="3" t="s">
        <v>293</v>
      </c>
      <c r="AV28" s="3" t="s">
        <v>294</v>
      </c>
      <c r="AW28" s="3" t="s">
        <v>295</v>
      </c>
      <c r="AX28" s="3" t="s">
        <v>295</v>
      </c>
      <c r="AY28" s="3" t="s">
        <v>296</v>
      </c>
      <c r="AZ28" s="3" t="s">
        <v>75</v>
      </c>
      <c r="BB28" s="3" t="s">
        <v>297</v>
      </c>
      <c r="BC28" s="3" t="s">
        <v>298</v>
      </c>
      <c r="BD28" s="3" t="s">
        <v>299</v>
      </c>
    </row>
    <row r="29" spans="1:56" ht="44.25" customHeight="1" x14ac:dyDescent="0.25">
      <c r="A29" s="7" t="s">
        <v>61</v>
      </c>
      <c r="B29" s="2" t="s">
        <v>300</v>
      </c>
      <c r="C29" s="2" t="s">
        <v>301</v>
      </c>
      <c r="D29" s="2" t="s">
        <v>302</v>
      </c>
      <c r="F29" s="3" t="s">
        <v>61</v>
      </c>
      <c r="G29" s="3" t="s">
        <v>60</v>
      </c>
      <c r="H29" s="3" t="s">
        <v>61</v>
      </c>
      <c r="I29" s="3" t="s">
        <v>61</v>
      </c>
      <c r="J29" s="3" t="s">
        <v>62</v>
      </c>
      <c r="K29" s="2" t="s">
        <v>303</v>
      </c>
      <c r="L29" s="2" t="s">
        <v>304</v>
      </c>
      <c r="M29" s="3" t="s">
        <v>305</v>
      </c>
      <c r="N29" s="2" t="s">
        <v>306</v>
      </c>
      <c r="O29" s="3" t="s">
        <v>114</v>
      </c>
      <c r="P29" s="3" t="s">
        <v>235</v>
      </c>
      <c r="Q29" s="2" t="s">
        <v>307</v>
      </c>
      <c r="R29" s="3" t="s">
        <v>68</v>
      </c>
      <c r="S29" s="4">
        <v>1</v>
      </c>
      <c r="T29" s="4">
        <v>1</v>
      </c>
      <c r="U29" s="5" t="s">
        <v>308</v>
      </c>
      <c r="V29" s="5" t="s">
        <v>308</v>
      </c>
      <c r="W29" s="5" t="s">
        <v>309</v>
      </c>
      <c r="X29" s="5" t="s">
        <v>309</v>
      </c>
      <c r="Y29" s="4">
        <v>753</v>
      </c>
      <c r="Z29" s="4">
        <v>638</v>
      </c>
      <c r="AA29" s="4">
        <v>664</v>
      </c>
      <c r="AB29" s="4">
        <v>4</v>
      </c>
      <c r="AC29" s="4">
        <v>4</v>
      </c>
      <c r="AD29" s="4">
        <v>32</v>
      </c>
      <c r="AE29" s="4">
        <v>36</v>
      </c>
      <c r="AF29" s="4">
        <v>12</v>
      </c>
      <c r="AG29" s="4">
        <v>12</v>
      </c>
      <c r="AH29" s="4">
        <v>7</v>
      </c>
      <c r="AI29" s="4">
        <v>7</v>
      </c>
      <c r="AJ29" s="4">
        <v>17</v>
      </c>
      <c r="AK29" s="4">
        <v>17</v>
      </c>
      <c r="AL29" s="4">
        <v>3</v>
      </c>
      <c r="AM29" s="4">
        <v>3</v>
      </c>
      <c r="AN29" s="4">
        <v>2</v>
      </c>
      <c r="AO29" s="4">
        <v>6</v>
      </c>
      <c r="AP29" s="3" t="s">
        <v>61</v>
      </c>
      <c r="AQ29" s="3" t="s">
        <v>59</v>
      </c>
      <c r="AR29" s="6" t="str">
        <f>HYPERLINK("http://catalog.hathitrust.org/Record/000812311","HathiTrust Record")</f>
        <v>HathiTrust Record</v>
      </c>
      <c r="AS29" s="6" t="str">
        <f>HYPERLINK("https://creighton-primo.hosted.exlibrisgroup.com/primo-explore/search?tab=default_tab&amp;search_scope=EVERYTHING&amp;vid=01CRU&amp;lang=en_US&amp;offset=0&amp;query=any,contains,991001935159702656","Catalog Record")</f>
        <v>Catalog Record</v>
      </c>
      <c r="AT29" s="6" t="str">
        <f>HYPERLINK("http://www.worldcat.org/oclc/250297","WorldCat Record")</f>
        <v>WorldCat Record</v>
      </c>
      <c r="AU29" s="3" t="s">
        <v>310</v>
      </c>
      <c r="AV29" s="3" t="s">
        <v>311</v>
      </c>
      <c r="AW29" s="3" t="s">
        <v>312</v>
      </c>
      <c r="AX29" s="3" t="s">
        <v>312</v>
      </c>
      <c r="AY29" s="3" t="s">
        <v>313</v>
      </c>
      <c r="AZ29" s="3" t="s">
        <v>75</v>
      </c>
      <c r="BC29" s="3" t="s">
        <v>314</v>
      </c>
      <c r="BD29" s="3" t="s">
        <v>315</v>
      </c>
    </row>
    <row r="30" spans="1:56" ht="44.25" customHeight="1" x14ac:dyDescent="0.25">
      <c r="A30" s="7" t="s">
        <v>61</v>
      </c>
      <c r="B30" s="2" t="s">
        <v>316</v>
      </c>
      <c r="C30" s="2" t="s">
        <v>317</v>
      </c>
      <c r="D30" s="2" t="s">
        <v>318</v>
      </c>
      <c r="F30" s="3" t="s">
        <v>61</v>
      </c>
      <c r="G30" s="3" t="s">
        <v>60</v>
      </c>
      <c r="H30" s="3" t="s">
        <v>61</v>
      </c>
      <c r="I30" s="3" t="s">
        <v>61</v>
      </c>
      <c r="J30" s="3" t="s">
        <v>62</v>
      </c>
      <c r="K30" s="2" t="s">
        <v>319</v>
      </c>
      <c r="L30" s="2" t="s">
        <v>320</v>
      </c>
      <c r="M30" s="3" t="s">
        <v>291</v>
      </c>
      <c r="O30" s="3" t="s">
        <v>114</v>
      </c>
      <c r="P30" s="3" t="s">
        <v>235</v>
      </c>
      <c r="R30" s="3" t="s">
        <v>68</v>
      </c>
      <c r="S30" s="4">
        <v>2</v>
      </c>
      <c r="T30" s="4">
        <v>2</v>
      </c>
      <c r="U30" s="5" t="s">
        <v>308</v>
      </c>
      <c r="V30" s="5" t="s">
        <v>308</v>
      </c>
      <c r="W30" s="5" t="s">
        <v>321</v>
      </c>
      <c r="X30" s="5" t="s">
        <v>321</v>
      </c>
      <c r="Y30" s="4">
        <v>612</v>
      </c>
      <c r="Z30" s="4">
        <v>539</v>
      </c>
      <c r="AA30" s="4">
        <v>661</v>
      </c>
      <c r="AB30" s="4">
        <v>4</v>
      </c>
      <c r="AC30" s="4">
        <v>6</v>
      </c>
      <c r="AD30" s="4">
        <v>19</v>
      </c>
      <c r="AE30" s="4">
        <v>28</v>
      </c>
      <c r="AF30" s="4">
        <v>4</v>
      </c>
      <c r="AG30" s="4">
        <v>8</v>
      </c>
      <c r="AH30" s="4">
        <v>6</v>
      </c>
      <c r="AI30" s="4">
        <v>8</v>
      </c>
      <c r="AJ30" s="4">
        <v>11</v>
      </c>
      <c r="AK30" s="4">
        <v>16</v>
      </c>
      <c r="AL30" s="4">
        <v>3</v>
      </c>
      <c r="AM30" s="4">
        <v>5</v>
      </c>
      <c r="AN30" s="4">
        <v>0</v>
      </c>
      <c r="AO30" s="4">
        <v>0</v>
      </c>
      <c r="AP30" s="3" t="s">
        <v>61</v>
      </c>
      <c r="AQ30" s="3" t="s">
        <v>59</v>
      </c>
      <c r="AR30" s="6" t="str">
        <f>HYPERLINK("http://catalog.hathitrust.org/Record/000266143","HathiTrust Record")</f>
        <v>HathiTrust Record</v>
      </c>
      <c r="AS30" s="6" t="str">
        <f>HYPERLINK("https://creighton-primo.hosted.exlibrisgroup.com/primo-explore/search?tab=default_tab&amp;search_scope=EVERYTHING&amp;vid=01CRU&amp;lang=en_US&amp;offset=0&amp;query=any,contains,991004864959702656","Catalog Record")</f>
        <v>Catalog Record</v>
      </c>
      <c r="AT30" s="6" t="str">
        <f>HYPERLINK("http://www.worldcat.org/oclc/5726577","WorldCat Record")</f>
        <v>WorldCat Record</v>
      </c>
      <c r="AU30" s="3" t="s">
        <v>322</v>
      </c>
      <c r="AV30" s="3" t="s">
        <v>323</v>
      </c>
      <c r="AW30" s="3" t="s">
        <v>324</v>
      </c>
      <c r="AX30" s="3" t="s">
        <v>324</v>
      </c>
      <c r="AY30" s="3" t="s">
        <v>325</v>
      </c>
      <c r="AZ30" s="3" t="s">
        <v>75</v>
      </c>
      <c r="BB30" s="3" t="s">
        <v>326</v>
      </c>
      <c r="BC30" s="3" t="s">
        <v>327</v>
      </c>
      <c r="BD30" s="3" t="s">
        <v>328</v>
      </c>
    </row>
    <row r="31" spans="1:56" ht="44.25" customHeight="1" x14ac:dyDescent="0.25">
      <c r="A31" s="7" t="s">
        <v>61</v>
      </c>
      <c r="B31" s="2" t="s">
        <v>329</v>
      </c>
      <c r="C31" s="2" t="s">
        <v>330</v>
      </c>
      <c r="D31" s="2" t="s">
        <v>331</v>
      </c>
      <c r="F31" s="3" t="s">
        <v>61</v>
      </c>
      <c r="G31" s="3" t="s">
        <v>60</v>
      </c>
      <c r="H31" s="3" t="s">
        <v>61</v>
      </c>
      <c r="I31" s="3" t="s">
        <v>61</v>
      </c>
      <c r="J31" s="3" t="s">
        <v>62</v>
      </c>
      <c r="K31" s="2" t="s">
        <v>332</v>
      </c>
      <c r="L31" s="2" t="s">
        <v>333</v>
      </c>
      <c r="M31" s="3" t="s">
        <v>334</v>
      </c>
      <c r="O31" s="3" t="s">
        <v>114</v>
      </c>
      <c r="P31" s="3" t="s">
        <v>335</v>
      </c>
      <c r="R31" s="3" t="s">
        <v>68</v>
      </c>
      <c r="S31" s="4">
        <v>5</v>
      </c>
      <c r="T31" s="4">
        <v>5</v>
      </c>
      <c r="U31" s="5" t="s">
        <v>336</v>
      </c>
      <c r="V31" s="5" t="s">
        <v>336</v>
      </c>
      <c r="W31" s="5" t="s">
        <v>337</v>
      </c>
      <c r="X31" s="5" t="s">
        <v>337</v>
      </c>
      <c r="Y31" s="4">
        <v>368</v>
      </c>
      <c r="Z31" s="4">
        <v>269</v>
      </c>
      <c r="AA31" s="4">
        <v>286</v>
      </c>
      <c r="AB31" s="4">
        <v>4</v>
      </c>
      <c r="AC31" s="4">
        <v>4</v>
      </c>
      <c r="AD31" s="4">
        <v>15</v>
      </c>
      <c r="AE31" s="4">
        <v>15</v>
      </c>
      <c r="AF31" s="4">
        <v>3</v>
      </c>
      <c r="AG31" s="4">
        <v>3</v>
      </c>
      <c r="AH31" s="4">
        <v>5</v>
      </c>
      <c r="AI31" s="4">
        <v>5</v>
      </c>
      <c r="AJ31" s="4">
        <v>8</v>
      </c>
      <c r="AK31" s="4">
        <v>8</v>
      </c>
      <c r="AL31" s="4">
        <v>3</v>
      </c>
      <c r="AM31" s="4">
        <v>3</v>
      </c>
      <c r="AN31" s="4">
        <v>0</v>
      </c>
      <c r="AO31" s="4">
        <v>0</v>
      </c>
      <c r="AP31" s="3" t="s">
        <v>61</v>
      </c>
      <c r="AQ31" s="3" t="s">
        <v>59</v>
      </c>
      <c r="AR31" s="6" t="str">
        <f>HYPERLINK("http://catalog.hathitrust.org/Record/000492352","HathiTrust Record")</f>
        <v>HathiTrust Record</v>
      </c>
      <c r="AS31" s="6" t="str">
        <f>HYPERLINK("https://creighton-primo.hosted.exlibrisgroup.com/primo-explore/search?tab=default_tab&amp;search_scope=EVERYTHING&amp;vid=01CRU&amp;lang=en_US&amp;offset=0&amp;query=any,contains,991000857329702656","Catalog Record")</f>
        <v>Catalog Record</v>
      </c>
      <c r="AT31" s="6" t="str">
        <f>HYPERLINK("http://www.worldcat.org/oclc/13666052","WorldCat Record")</f>
        <v>WorldCat Record</v>
      </c>
      <c r="AU31" s="3" t="s">
        <v>338</v>
      </c>
      <c r="AV31" s="3" t="s">
        <v>339</v>
      </c>
      <c r="AW31" s="3" t="s">
        <v>340</v>
      </c>
      <c r="AX31" s="3" t="s">
        <v>340</v>
      </c>
      <c r="AY31" s="3" t="s">
        <v>341</v>
      </c>
      <c r="AZ31" s="3" t="s">
        <v>75</v>
      </c>
      <c r="BB31" s="3" t="s">
        <v>342</v>
      </c>
      <c r="BC31" s="3" t="s">
        <v>343</v>
      </c>
      <c r="BD31" s="3" t="s">
        <v>344</v>
      </c>
    </row>
    <row r="32" spans="1:56" ht="44.25" customHeight="1" x14ac:dyDescent="0.25">
      <c r="A32" s="7" t="s">
        <v>61</v>
      </c>
      <c r="B32" s="2" t="s">
        <v>345</v>
      </c>
      <c r="C32" s="2" t="s">
        <v>346</v>
      </c>
      <c r="D32" s="2" t="s">
        <v>347</v>
      </c>
      <c r="F32" s="3" t="s">
        <v>61</v>
      </c>
      <c r="G32" s="3" t="s">
        <v>60</v>
      </c>
      <c r="H32" s="3" t="s">
        <v>61</v>
      </c>
      <c r="I32" s="3" t="s">
        <v>61</v>
      </c>
      <c r="J32" s="3" t="s">
        <v>62</v>
      </c>
      <c r="K32" s="2" t="s">
        <v>348</v>
      </c>
      <c r="L32" s="2" t="s">
        <v>349</v>
      </c>
      <c r="M32" s="3" t="s">
        <v>350</v>
      </c>
      <c r="O32" s="3" t="s">
        <v>114</v>
      </c>
      <c r="P32" s="3" t="s">
        <v>235</v>
      </c>
      <c r="R32" s="3" t="s">
        <v>68</v>
      </c>
      <c r="S32" s="4">
        <v>1</v>
      </c>
      <c r="T32" s="4">
        <v>1</v>
      </c>
      <c r="U32" s="5" t="s">
        <v>308</v>
      </c>
      <c r="V32" s="5" t="s">
        <v>308</v>
      </c>
      <c r="W32" s="5" t="s">
        <v>265</v>
      </c>
      <c r="X32" s="5" t="s">
        <v>265</v>
      </c>
      <c r="Y32" s="4">
        <v>856</v>
      </c>
      <c r="Z32" s="4">
        <v>700</v>
      </c>
      <c r="AA32" s="4">
        <v>707</v>
      </c>
      <c r="AB32" s="4">
        <v>3</v>
      </c>
      <c r="AC32" s="4">
        <v>3</v>
      </c>
      <c r="AD32" s="4">
        <v>21</v>
      </c>
      <c r="AE32" s="4">
        <v>21</v>
      </c>
      <c r="AF32" s="4">
        <v>8</v>
      </c>
      <c r="AG32" s="4">
        <v>8</v>
      </c>
      <c r="AH32" s="4">
        <v>7</v>
      </c>
      <c r="AI32" s="4">
        <v>7</v>
      </c>
      <c r="AJ32" s="4">
        <v>11</v>
      </c>
      <c r="AK32" s="4">
        <v>11</v>
      </c>
      <c r="AL32" s="4">
        <v>2</v>
      </c>
      <c r="AM32" s="4">
        <v>2</v>
      </c>
      <c r="AN32" s="4">
        <v>0</v>
      </c>
      <c r="AO32" s="4">
        <v>0</v>
      </c>
      <c r="AP32" s="3" t="s">
        <v>61</v>
      </c>
      <c r="AQ32" s="3" t="s">
        <v>59</v>
      </c>
      <c r="AR32" s="6" t="str">
        <f>HYPERLINK("http://catalog.hathitrust.org/Record/000216530","HathiTrust Record")</f>
        <v>HathiTrust Record</v>
      </c>
      <c r="AS32" s="6" t="str">
        <f>HYPERLINK("https://creighton-primo.hosted.exlibrisgroup.com/primo-explore/search?tab=default_tab&amp;search_scope=EVERYTHING&amp;vid=01CRU&amp;lang=en_US&amp;offset=0&amp;query=any,contains,991004610479702656","Catalog Record")</f>
        <v>Catalog Record</v>
      </c>
      <c r="AT32" s="6" t="str">
        <f>HYPERLINK("http://www.worldcat.org/oclc/4211205","WorldCat Record")</f>
        <v>WorldCat Record</v>
      </c>
      <c r="AU32" s="3" t="s">
        <v>351</v>
      </c>
      <c r="AV32" s="3" t="s">
        <v>352</v>
      </c>
      <c r="AW32" s="3" t="s">
        <v>353</v>
      </c>
      <c r="AX32" s="3" t="s">
        <v>353</v>
      </c>
      <c r="AY32" s="3" t="s">
        <v>354</v>
      </c>
      <c r="AZ32" s="3" t="s">
        <v>75</v>
      </c>
      <c r="BB32" s="3" t="s">
        <v>355</v>
      </c>
      <c r="BC32" s="3" t="s">
        <v>356</v>
      </c>
      <c r="BD32" s="3" t="s">
        <v>357</v>
      </c>
    </row>
    <row r="33" spans="1:56" ht="44.25" customHeight="1" x14ac:dyDescent="0.25">
      <c r="A33" s="7" t="s">
        <v>61</v>
      </c>
      <c r="B33" s="2" t="s">
        <v>358</v>
      </c>
      <c r="C33" s="2" t="s">
        <v>359</v>
      </c>
      <c r="D33" s="2" t="s">
        <v>360</v>
      </c>
      <c r="F33" s="3" t="s">
        <v>61</v>
      </c>
      <c r="G33" s="3" t="s">
        <v>60</v>
      </c>
      <c r="H33" s="3" t="s">
        <v>61</v>
      </c>
      <c r="I33" s="3" t="s">
        <v>61</v>
      </c>
      <c r="J33" s="3" t="s">
        <v>62</v>
      </c>
      <c r="K33" s="2" t="s">
        <v>361</v>
      </c>
      <c r="L33" s="2" t="s">
        <v>362</v>
      </c>
      <c r="M33" s="3" t="s">
        <v>350</v>
      </c>
      <c r="N33" s="2" t="s">
        <v>363</v>
      </c>
      <c r="O33" s="3" t="s">
        <v>114</v>
      </c>
      <c r="P33" s="3" t="s">
        <v>364</v>
      </c>
      <c r="R33" s="3" t="s">
        <v>68</v>
      </c>
      <c r="S33" s="4">
        <v>4</v>
      </c>
      <c r="T33" s="4">
        <v>4</v>
      </c>
      <c r="U33" s="5" t="s">
        <v>365</v>
      </c>
      <c r="V33" s="5" t="s">
        <v>365</v>
      </c>
      <c r="W33" s="5" t="s">
        <v>366</v>
      </c>
      <c r="X33" s="5" t="s">
        <v>366</v>
      </c>
      <c r="Y33" s="4">
        <v>278</v>
      </c>
      <c r="Z33" s="4">
        <v>230</v>
      </c>
      <c r="AA33" s="4">
        <v>526</v>
      </c>
      <c r="AB33" s="4">
        <v>3</v>
      </c>
      <c r="AC33" s="4">
        <v>3</v>
      </c>
      <c r="AD33" s="4">
        <v>7</v>
      </c>
      <c r="AE33" s="4">
        <v>14</v>
      </c>
      <c r="AF33" s="4">
        <v>2</v>
      </c>
      <c r="AG33" s="4">
        <v>3</v>
      </c>
      <c r="AH33" s="4">
        <v>2</v>
      </c>
      <c r="AI33" s="4">
        <v>4</v>
      </c>
      <c r="AJ33" s="4">
        <v>4</v>
      </c>
      <c r="AK33" s="4">
        <v>8</v>
      </c>
      <c r="AL33" s="4">
        <v>2</v>
      </c>
      <c r="AM33" s="4">
        <v>2</v>
      </c>
      <c r="AN33" s="4">
        <v>0</v>
      </c>
      <c r="AO33" s="4">
        <v>0</v>
      </c>
      <c r="AP33" s="3" t="s">
        <v>61</v>
      </c>
      <c r="AQ33" s="3" t="s">
        <v>59</v>
      </c>
      <c r="AR33" s="6" t="str">
        <f>HYPERLINK("http://catalog.hathitrust.org/Record/000256003","HathiTrust Record")</f>
        <v>HathiTrust Record</v>
      </c>
      <c r="AS33" s="6" t="str">
        <f>HYPERLINK("https://creighton-primo.hosted.exlibrisgroup.com/primo-explore/search?tab=default_tab&amp;search_scope=EVERYTHING&amp;vid=01CRU&amp;lang=en_US&amp;offset=0&amp;query=any,contains,991004652989702656","Catalog Record")</f>
        <v>Catalog Record</v>
      </c>
      <c r="AT33" s="6" t="str">
        <f>HYPERLINK("http://www.worldcat.org/oclc/4494487","WorldCat Record")</f>
        <v>WorldCat Record</v>
      </c>
      <c r="AU33" s="3" t="s">
        <v>367</v>
      </c>
      <c r="AV33" s="3" t="s">
        <v>368</v>
      </c>
      <c r="AW33" s="3" t="s">
        <v>369</v>
      </c>
      <c r="AX33" s="3" t="s">
        <v>369</v>
      </c>
      <c r="AY33" s="3" t="s">
        <v>370</v>
      </c>
      <c r="AZ33" s="3" t="s">
        <v>75</v>
      </c>
      <c r="BB33" s="3" t="s">
        <v>371</v>
      </c>
      <c r="BC33" s="3" t="s">
        <v>372</v>
      </c>
      <c r="BD33" s="3" t="s">
        <v>373</v>
      </c>
    </row>
    <row r="34" spans="1:56" ht="44.25" customHeight="1" x14ac:dyDescent="0.25">
      <c r="A34" s="7" t="s">
        <v>61</v>
      </c>
      <c r="B34" s="2" t="s">
        <v>374</v>
      </c>
      <c r="C34" s="2" t="s">
        <v>375</v>
      </c>
      <c r="D34" s="2" t="s">
        <v>376</v>
      </c>
      <c r="F34" s="3" t="s">
        <v>61</v>
      </c>
      <c r="G34" s="3" t="s">
        <v>60</v>
      </c>
      <c r="H34" s="3" t="s">
        <v>61</v>
      </c>
      <c r="I34" s="3" t="s">
        <v>61</v>
      </c>
      <c r="J34" s="3" t="s">
        <v>62</v>
      </c>
      <c r="K34" s="2" t="s">
        <v>377</v>
      </c>
      <c r="L34" s="2" t="s">
        <v>378</v>
      </c>
      <c r="M34" s="3" t="s">
        <v>379</v>
      </c>
      <c r="O34" s="3" t="s">
        <v>114</v>
      </c>
      <c r="P34" s="3" t="s">
        <v>192</v>
      </c>
      <c r="R34" s="3" t="s">
        <v>68</v>
      </c>
      <c r="S34" s="4">
        <v>1</v>
      </c>
      <c r="T34" s="4">
        <v>1</v>
      </c>
      <c r="U34" s="5" t="s">
        <v>380</v>
      </c>
      <c r="V34" s="5" t="s">
        <v>380</v>
      </c>
      <c r="W34" s="5" t="s">
        <v>381</v>
      </c>
      <c r="X34" s="5" t="s">
        <v>381</v>
      </c>
      <c r="Y34" s="4">
        <v>448</v>
      </c>
      <c r="Z34" s="4">
        <v>320</v>
      </c>
      <c r="AA34" s="4">
        <v>354</v>
      </c>
      <c r="AB34" s="4">
        <v>3</v>
      </c>
      <c r="AC34" s="4">
        <v>3</v>
      </c>
      <c r="AD34" s="4">
        <v>11</v>
      </c>
      <c r="AE34" s="4">
        <v>13</v>
      </c>
      <c r="AF34" s="4">
        <v>4</v>
      </c>
      <c r="AG34" s="4">
        <v>4</v>
      </c>
      <c r="AH34" s="4">
        <v>4</v>
      </c>
      <c r="AI34" s="4">
        <v>6</v>
      </c>
      <c r="AJ34" s="4">
        <v>6</v>
      </c>
      <c r="AK34" s="4">
        <v>6</v>
      </c>
      <c r="AL34" s="4">
        <v>2</v>
      </c>
      <c r="AM34" s="4">
        <v>2</v>
      </c>
      <c r="AN34" s="4">
        <v>0</v>
      </c>
      <c r="AO34" s="4">
        <v>0</v>
      </c>
      <c r="AP34" s="3" t="s">
        <v>61</v>
      </c>
      <c r="AQ34" s="3" t="s">
        <v>61</v>
      </c>
      <c r="AS34" s="6" t="str">
        <f>HYPERLINK("https://creighton-primo.hosted.exlibrisgroup.com/primo-explore/search?tab=default_tab&amp;search_scope=EVERYTHING&amp;vid=01CRU&amp;lang=en_US&amp;offset=0&amp;query=any,contains,991004137739702656","Catalog Record")</f>
        <v>Catalog Record</v>
      </c>
      <c r="AT34" s="6" t="str">
        <f>HYPERLINK("http://www.worldcat.org/oclc/43701865","WorldCat Record")</f>
        <v>WorldCat Record</v>
      </c>
      <c r="AU34" s="3" t="s">
        <v>382</v>
      </c>
      <c r="AV34" s="3" t="s">
        <v>383</v>
      </c>
      <c r="AW34" s="3" t="s">
        <v>384</v>
      </c>
      <c r="AX34" s="3" t="s">
        <v>384</v>
      </c>
      <c r="AY34" s="3" t="s">
        <v>385</v>
      </c>
      <c r="AZ34" s="3" t="s">
        <v>75</v>
      </c>
      <c r="BB34" s="3" t="s">
        <v>386</v>
      </c>
      <c r="BC34" s="3" t="s">
        <v>387</v>
      </c>
      <c r="BD34" s="3" t="s">
        <v>388</v>
      </c>
    </row>
    <row r="35" spans="1:56" ht="44.25" customHeight="1" x14ac:dyDescent="0.25">
      <c r="A35" s="7" t="s">
        <v>61</v>
      </c>
      <c r="B35" s="2" t="s">
        <v>389</v>
      </c>
      <c r="C35" s="2" t="s">
        <v>390</v>
      </c>
      <c r="D35" s="2" t="s">
        <v>391</v>
      </c>
      <c r="F35" s="3" t="s">
        <v>61</v>
      </c>
      <c r="G35" s="3" t="s">
        <v>60</v>
      </c>
      <c r="H35" s="3" t="s">
        <v>61</v>
      </c>
      <c r="I35" s="3" t="s">
        <v>61</v>
      </c>
      <c r="J35" s="3" t="s">
        <v>62</v>
      </c>
      <c r="K35" s="2" t="s">
        <v>392</v>
      </c>
      <c r="L35" s="2" t="s">
        <v>393</v>
      </c>
      <c r="M35" s="3" t="s">
        <v>334</v>
      </c>
      <c r="O35" s="3" t="s">
        <v>114</v>
      </c>
      <c r="P35" s="3" t="s">
        <v>192</v>
      </c>
      <c r="R35" s="3" t="s">
        <v>68</v>
      </c>
      <c r="S35" s="4">
        <v>2</v>
      </c>
      <c r="T35" s="4">
        <v>2</v>
      </c>
      <c r="U35" s="5" t="s">
        <v>394</v>
      </c>
      <c r="V35" s="5" t="s">
        <v>394</v>
      </c>
      <c r="W35" s="5" t="s">
        <v>237</v>
      </c>
      <c r="X35" s="5" t="s">
        <v>237</v>
      </c>
      <c r="Y35" s="4">
        <v>382</v>
      </c>
      <c r="Z35" s="4">
        <v>290</v>
      </c>
      <c r="AA35" s="4">
        <v>318</v>
      </c>
      <c r="AB35" s="4">
        <v>3</v>
      </c>
      <c r="AC35" s="4">
        <v>3</v>
      </c>
      <c r="AD35" s="4">
        <v>10</v>
      </c>
      <c r="AE35" s="4">
        <v>10</v>
      </c>
      <c r="AF35" s="4">
        <v>1</v>
      </c>
      <c r="AG35" s="4">
        <v>1</v>
      </c>
      <c r="AH35" s="4">
        <v>4</v>
      </c>
      <c r="AI35" s="4">
        <v>4</v>
      </c>
      <c r="AJ35" s="4">
        <v>6</v>
      </c>
      <c r="AK35" s="4">
        <v>6</v>
      </c>
      <c r="AL35" s="4">
        <v>2</v>
      </c>
      <c r="AM35" s="4">
        <v>2</v>
      </c>
      <c r="AN35" s="4">
        <v>0</v>
      </c>
      <c r="AO35" s="4">
        <v>0</v>
      </c>
      <c r="AP35" s="3" t="s">
        <v>61</v>
      </c>
      <c r="AQ35" s="3" t="s">
        <v>59</v>
      </c>
      <c r="AR35" s="6" t="str">
        <f>HYPERLINK("http://catalog.hathitrust.org/Record/000860109","HathiTrust Record")</f>
        <v>HathiTrust Record</v>
      </c>
      <c r="AS35" s="6" t="str">
        <f>HYPERLINK("https://creighton-primo.hosted.exlibrisgroup.com/primo-explore/search?tab=default_tab&amp;search_scope=EVERYTHING&amp;vid=01CRU&amp;lang=en_US&amp;offset=0&amp;query=any,contains,991001092089702656","Catalog Record")</f>
        <v>Catalog Record</v>
      </c>
      <c r="AT35" s="6" t="str">
        <f>HYPERLINK("http://www.worldcat.org/oclc/16225376","WorldCat Record")</f>
        <v>WorldCat Record</v>
      </c>
      <c r="AU35" s="3" t="s">
        <v>395</v>
      </c>
      <c r="AV35" s="3" t="s">
        <v>396</v>
      </c>
      <c r="AW35" s="3" t="s">
        <v>397</v>
      </c>
      <c r="AX35" s="3" t="s">
        <v>397</v>
      </c>
      <c r="AY35" s="3" t="s">
        <v>398</v>
      </c>
      <c r="AZ35" s="3" t="s">
        <v>75</v>
      </c>
      <c r="BB35" s="3" t="s">
        <v>399</v>
      </c>
      <c r="BC35" s="3" t="s">
        <v>400</v>
      </c>
      <c r="BD35" s="3" t="s">
        <v>401</v>
      </c>
    </row>
    <row r="36" spans="1:56" ht="44.25" customHeight="1" x14ac:dyDescent="0.25">
      <c r="A36" s="7" t="s">
        <v>61</v>
      </c>
      <c r="B36" s="2" t="s">
        <v>402</v>
      </c>
      <c r="C36" s="2" t="s">
        <v>403</v>
      </c>
      <c r="D36" s="2" t="s">
        <v>404</v>
      </c>
      <c r="F36" s="3" t="s">
        <v>61</v>
      </c>
      <c r="G36" s="3" t="s">
        <v>60</v>
      </c>
      <c r="H36" s="3" t="s">
        <v>61</v>
      </c>
      <c r="I36" s="3" t="s">
        <v>61</v>
      </c>
      <c r="J36" s="3" t="s">
        <v>62</v>
      </c>
      <c r="K36" s="2" t="s">
        <v>405</v>
      </c>
      <c r="L36" s="2" t="s">
        <v>406</v>
      </c>
      <c r="M36" s="3" t="s">
        <v>407</v>
      </c>
      <c r="O36" s="3" t="s">
        <v>114</v>
      </c>
      <c r="P36" s="3" t="s">
        <v>235</v>
      </c>
      <c r="Q36" s="2" t="s">
        <v>408</v>
      </c>
      <c r="R36" s="3" t="s">
        <v>68</v>
      </c>
      <c r="S36" s="4">
        <v>14</v>
      </c>
      <c r="T36" s="4">
        <v>14</v>
      </c>
      <c r="U36" s="5" t="s">
        <v>409</v>
      </c>
      <c r="V36" s="5" t="s">
        <v>409</v>
      </c>
      <c r="W36" s="5" t="s">
        <v>410</v>
      </c>
      <c r="X36" s="5" t="s">
        <v>410</v>
      </c>
      <c r="Y36" s="4">
        <v>299</v>
      </c>
      <c r="Z36" s="4">
        <v>255</v>
      </c>
      <c r="AA36" s="4">
        <v>283</v>
      </c>
      <c r="AB36" s="4">
        <v>2</v>
      </c>
      <c r="AC36" s="4">
        <v>2</v>
      </c>
      <c r="AD36" s="4">
        <v>15</v>
      </c>
      <c r="AE36" s="4">
        <v>16</v>
      </c>
      <c r="AF36" s="4">
        <v>4</v>
      </c>
      <c r="AG36" s="4">
        <v>4</v>
      </c>
      <c r="AH36" s="4">
        <v>4</v>
      </c>
      <c r="AI36" s="4">
        <v>5</v>
      </c>
      <c r="AJ36" s="4">
        <v>8</v>
      </c>
      <c r="AK36" s="4">
        <v>9</v>
      </c>
      <c r="AL36" s="4">
        <v>1</v>
      </c>
      <c r="AM36" s="4">
        <v>1</v>
      </c>
      <c r="AN36" s="4">
        <v>1</v>
      </c>
      <c r="AO36" s="4">
        <v>1</v>
      </c>
      <c r="AP36" s="3" t="s">
        <v>61</v>
      </c>
      <c r="AQ36" s="3" t="s">
        <v>61</v>
      </c>
      <c r="AS36" s="6" t="str">
        <f>HYPERLINK("https://creighton-primo.hosted.exlibrisgroup.com/primo-explore/search?tab=default_tab&amp;search_scope=EVERYTHING&amp;vid=01CRU&amp;lang=en_US&amp;offset=0&amp;query=any,contains,991005419659702656","Catalog Record")</f>
        <v>Catalog Record</v>
      </c>
      <c r="AT36" s="6" t="str">
        <f>HYPERLINK("http://www.worldcat.org/oclc/31132312","WorldCat Record")</f>
        <v>WorldCat Record</v>
      </c>
      <c r="AU36" s="3" t="s">
        <v>411</v>
      </c>
      <c r="AV36" s="3" t="s">
        <v>412</v>
      </c>
      <c r="AW36" s="3" t="s">
        <v>413</v>
      </c>
      <c r="AX36" s="3" t="s">
        <v>413</v>
      </c>
      <c r="AY36" s="3" t="s">
        <v>414</v>
      </c>
      <c r="AZ36" s="3" t="s">
        <v>75</v>
      </c>
      <c r="BB36" s="3" t="s">
        <v>415</v>
      </c>
      <c r="BC36" s="3" t="s">
        <v>416</v>
      </c>
      <c r="BD36" s="3" t="s">
        <v>417</v>
      </c>
    </row>
    <row r="37" spans="1:56" ht="44.25" customHeight="1" x14ac:dyDescent="0.25">
      <c r="A37" s="7" t="s">
        <v>61</v>
      </c>
      <c r="B37" s="2" t="s">
        <v>418</v>
      </c>
      <c r="C37" s="2" t="s">
        <v>419</v>
      </c>
      <c r="D37" s="2" t="s">
        <v>420</v>
      </c>
      <c r="F37" s="3" t="s">
        <v>61</v>
      </c>
      <c r="G37" s="3" t="s">
        <v>60</v>
      </c>
      <c r="H37" s="3" t="s">
        <v>61</v>
      </c>
      <c r="I37" s="3" t="s">
        <v>61</v>
      </c>
      <c r="J37" s="3" t="s">
        <v>62</v>
      </c>
      <c r="L37" s="2" t="s">
        <v>421</v>
      </c>
      <c r="M37" s="3" t="s">
        <v>422</v>
      </c>
      <c r="O37" s="3" t="s">
        <v>114</v>
      </c>
      <c r="P37" s="3" t="s">
        <v>192</v>
      </c>
      <c r="R37" s="3" t="s">
        <v>68</v>
      </c>
      <c r="S37" s="4">
        <v>14</v>
      </c>
      <c r="T37" s="4">
        <v>14</v>
      </c>
      <c r="U37" s="5" t="s">
        <v>409</v>
      </c>
      <c r="V37" s="5" t="s">
        <v>409</v>
      </c>
      <c r="W37" s="5" t="s">
        <v>423</v>
      </c>
      <c r="X37" s="5" t="s">
        <v>423</v>
      </c>
      <c r="Y37" s="4">
        <v>235</v>
      </c>
      <c r="Z37" s="4">
        <v>127</v>
      </c>
      <c r="AA37" s="4">
        <v>157</v>
      </c>
      <c r="AB37" s="4">
        <v>1</v>
      </c>
      <c r="AC37" s="4">
        <v>1</v>
      </c>
      <c r="AD37" s="4">
        <v>6</v>
      </c>
      <c r="AE37" s="4">
        <v>7</v>
      </c>
      <c r="AF37" s="4">
        <v>3</v>
      </c>
      <c r="AG37" s="4">
        <v>3</v>
      </c>
      <c r="AH37" s="4">
        <v>1</v>
      </c>
      <c r="AI37" s="4">
        <v>2</v>
      </c>
      <c r="AJ37" s="4">
        <v>6</v>
      </c>
      <c r="AK37" s="4">
        <v>7</v>
      </c>
      <c r="AL37" s="4">
        <v>0</v>
      </c>
      <c r="AM37" s="4">
        <v>0</v>
      </c>
      <c r="AN37" s="4">
        <v>0</v>
      </c>
      <c r="AO37" s="4">
        <v>0</v>
      </c>
      <c r="AP37" s="3" t="s">
        <v>61</v>
      </c>
      <c r="AQ37" s="3" t="s">
        <v>59</v>
      </c>
      <c r="AR37" s="6" t="str">
        <f>HYPERLINK("http://catalog.hathitrust.org/Record/003978353","HathiTrust Record")</f>
        <v>HathiTrust Record</v>
      </c>
      <c r="AS37" s="6" t="str">
        <f>HYPERLINK("https://creighton-primo.hosted.exlibrisgroup.com/primo-explore/search?tab=default_tab&amp;search_scope=EVERYTHING&amp;vid=01CRU&amp;lang=en_US&amp;offset=0&amp;query=any,contains,991005426039702656","Catalog Record")</f>
        <v>Catalog Record</v>
      </c>
      <c r="AT37" s="6" t="str">
        <f>HYPERLINK("http://www.worldcat.org/oclc/36629976","WorldCat Record")</f>
        <v>WorldCat Record</v>
      </c>
      <c r="AU37" s="3" t="s">
        <v>424</v>
      </c>
      <c r="AV37" s="3" t="s">
        <v>425</v>
      </c>
      <c r="AW37" s="3" t="s">
        <v>426</v>
      </c>
      <c r="AX37" s="3" t="s">
        <v>426</v>
      </c>
      <c r="AY37" s="3" t="s">
        <v>427</v>
      </c>
      <c r="AZ37" s="3" t="s">
        <v>75</v>
      </c>
      <c r="BB37" s="3" t="s">
        <v>428</v>
      </c>
      <c r="BC37" s="3" t="s">
        <v>429</v>
      </c>
      <c r="BD37" s="3" t="s">
        <v>430</v>
      </c>
    </row>
    <row r="38" spans="1:56" ht="44.25" customHeight="1" x14ac:dyDescent="0.25">
      <c r="A38" s="7" t="s">
        <v>61</v>
      </c>
      <c r="B38" s="2" t="s">
        <v>431</v>
      </c>
      <c r="C38" s="2" t="s">
        <v>432</v>
      </c>
      <c r="D38" s="2" t="s">
        <v>433</v>
      </c>
      <c r="F38" s="3" t="s">
        <v>61</v>
      </c>
      <c r="G38" s="3" t="s">
        <v>60</v>
      </c>
      <c r="H38" s="3" t="s">
        <v>61</v>
      </c>
      <c r="I38" s="3" t="s">
        <v>61</v>
      </c>
      <c r="J38" s="3" t="s">
        <v>62</v>
      </c>
      <c r="K38" s="2" t="s">
        <v>434</v>
      </c>
      <c r="L38" s="2" t="s">
        <v>435</v>
      </c>
      <c r="M38" s="3" t="s">
        <v>436</v>
      </c>
      <c r="O38" s="3" t="s">
        <v>114</v>
      </c>
      <c r="P38" s="3" t="s">
        <v>437</v>
      </c>
      <c r="R38" s="3" t="s">
        <v>68</v>
      </c>
      <c r="S38" s="4">
        <v>2</v>
      </c>
      <c r="T38" s="4">
        <v>2</v>
      </c>
      <c r="U38" s="5" t="s">
        <v>438</v>
      </c>
      <c r="V38" s="5" t="s">
        <v>438</v>
      </c>
      <c r="W38" s="5" t="s">
        <v>438</v>
      </c>
      <c r="X38" s="5" t="s">
        <v>438</v>
      </c>
      <c r="Y38" s="4">
        <v>71</v>
      </c>
      <c r="Z38" s="4">
        <v>56</v>
      </c>
      <c r="AA38" s="4">
        <v>57</v>
      </c>
      <c r="AB38" s="4">
        <v>1</v>
      </c>
      <c r="AC38" s="4">
        <v>1</v>
      </c>
      <c r="AD38" s="4">
        <v>2</v>
      </c>
      <c r="AE38" s="4">
        <v>2</v>
      </c>
      <c r="AF38" s="4">
        <v>0</v>
      </c>
      <c r="AG38" s="4">
        <v>0</v>
      </c>
      <c r="AH38" s="4">
        <v>1</v>
      </c>
      <c r="AI38" s="4">
        <v>1</v>
      </c>
      <c r="AJ38" s="4">
        <v>1</v>
      </c>
      <c r="AK38" s="4">
        <v>1</v>
      </c>
      <c r="AL38" s="4">
        <v>0</v>
      </c>
      <c r="AM38" s="4">
        <v>0</v>
      </c>
      <c r="AN38" s="4">
        <v>0</v>
      </c>
      <c r="AO38" s="4">
        <v>0</v>
      </c>
      <c r="AP38" s="3" t="s">
        <v>61</v>
      </c>
      <c r="AQ38" s="3" t="s">
        <v>59</v>
      </c>
      <c r="AR38" s="6" t="str">
        <f>HYPERLINK("http://catalog.hathitrust.org/Record/004530611","HathiTrust Record")</f>
        <v>HathiTrust Record</v>
      </c>
      <c r="AS38" s="6" t="str">
        <f>HYPERLINK("https://creighton-primo.hosted.exlibrisgroup.com/primo-explore/search?tab=default_tab&amp;search_scope=EVERYTHING&amp;vid=01CRU&amp;lang=en_US&amp;offset=0&amp;query=any,contains,991004346619702656","Catalog Record")</f>
        <v>Catalog Record</v>
      </c>
      <c r="AT38" s="6" t="str">
        <f>HYPERLINK("http://www.worldcat.org/oclc/21973778","WorldCat Record")</f>
        <v>WorldCat Record</v>
      </c>
      <c r="AU38" s="3" t="s">
        <v>439</v>
      </c>
      <c r="AV38" s="3" t="s">
        <v>440</v>
      </c>
      <c r="AW38" s="3" t="s">
        <v>441</v>
      </c>
      <c r="AX38" s="3" t="s">
        <v>441</v>
      </c>
      <c r="AY38" s="3" t="s">
        <v>442</v>
      </c>
      <c r="AZ38" s="3" t="s">
        <v>75</v>
      </c>
      <c r="BB38" s="3" t="s">
        <v>443</v>
      </c>
      <c r="BC38" s="3" t="s">
        <v>444</v>
      </c>
      <c r="BD38" s="3" t="s">
        <v>445</v>
      </c>
    </row>
    <row r="39" spans="1:56" ht="44.25" customHeight="1" x14ac:dyDescent="0.25">
      <c r="A39" s="7" t="s">
        <v>61</v>
      </c>
      <c r="B39" s="2" t="s">
        <v>446</v>
      </c>
      <c r="C39" s="2" t="s">
        <v>447</v>
      </c>
      <c r="D39" s="2" t="s">
        <v>448</v>
      </c>
      <c r="F39" s="3" t="s">
        <v>61</v>
      </c>
      <c r="G39" s="3" t="s">
        <v>60</v>
      </c>
      <c r="H39" s="3" t="s">
        <v>61</v>
      </c>
      <c r="I39" s="3" t="s">
        <v>61</v>
      </c>
      <c r="J39" s="3" t="s">
        <v>62</v>
      </c>
      <c r="K39" s="2" t="s">
        <v>449</v>
      </c>
      <c r="L39" s="2" t="s">
        <v>450</v>
      </c>
      <c r="M39" s="3" t="s">
        <v>451</v>
      </c>
      <c r="O39" s="3" t="s">
        <v>114</v>
      </c>
      <c r="P39" s="3" t="s">
        <v>192</v>
      </c>
      <c r="R39" s="3" t="s">
        <v>68</v>
      </c>
      <c r="S39" s="4">
        <v>5</v>
      </c>
      <c r="T39" s="4">
        <v>5</v>
      </c>
      <c r="U39" s="5" t="s">
        <v>452</v>
      </c>
      <c r="V39" s="5" t="s">
        <v>452</v>
      </c>
      <c r="W39" s="5" t="s">
        <v>453</v>
      </c>
      <c r="X39" s="5" t="s">
        <v>453</v>
      </c>
      <c r="Y39" s="4">
        <v>260</v>
      </c>
      <c r="Z39" s="4">
        <v>144</v>
      </c>
      <c r="AA39" s="4">
        <v>166</v>
      </c>
      <c r="AB39" s="4">
        <v>2</v>
      </c>
      <c r="AC39" s="4">
        <v>2</v>
      </c>
      <c r="AD39" s="4">
        <v>5</v>
      </c>
      <c r="AE39" s="4">
        <v>5</v>
      </c>
      <c r="AF39" s="4">
        <v>1</v>
      </c>
      <c r="AG39" s="4">
        <v>1</v>
      </c>
      <c r="AH39" s="4">
        <v>1</v>
      </c>
      <c r="AI39" s="4">
        <v>1</v>
      </c>
      <c r="AJ39" s="4">
        <v>4</v>
      </c>
      <c r="AK39" s="4">
        <v>4</v>
      </c>
      <c r="AL39" s="4">
        <v>1</v>
      </c>
      <c r="AM39" s="4">
        <v>1</v>
      </c>
      <c r="AN39" s="4">
        <v>0</v>
      </c>
      <c r="AO39" s="4">
        <v>0</v>
      </c>
      <c r="AP39" s="3" t="s">
        <v>61</v>
      </c>
      <c r="AQ39" s="3" t="s">
        <v>59</v>
      </c>
      <c r="AR39" s="6" t="str">
        <f>HYPERLINK("http://catalog.hathitrust.org/Record/004050762","HathiTrust Record")</f>
        <v>HathiTrust Record</v>
      </c>
      <c r="AS39" s="6" t="str">
        <f>HYPERLINK("https://creighton-primo.hosted.exlibrisgroup.com/primo-explore/search?tab=default_tab&amp;search_scope=EVERYTHING&amp;vid=01CRU&amp;lang=en_US&amp;offset=0&amp;query=any,contains,991002999959702656","Catalog Record")</f>
        <v>Catalog Record</v>
      </c>
      <c r="AT39" s="6" t="str">
        <f>HYPERLINK("http://www.worldcat.org/oclc/40631634","WorldCat Record")</f>
        <v>WorldCat Record</v>
      </c>
      <c r="AU39" s="3" t="s">
        <v>454</v>
      </c>
      <c r="AV39" s="3" t="s">
        <v>455</v>
      </c>
      <c r="AW39" s="3" t="s">
        <v>456</v>
      </c>
      <c r="AX39" s="3" t="s">
        <v>456</v>
      </c>
      <c r="AY39" s="3" t="s">
        <v>457</v>
      </c>
      <c r="AZ39" s="3" t="s">
        <v>75</v>
      </c>
      <c r="BB39" s="3" t="s">
        <v>458</v>
      </c>
      <c r="BC39" s="3" t="s">
        <v>459</v>
      </c>
      <c r="BD39" s="3" t="s">
        <v>460</v>
      </c>
    </row>
    <row r="40" spans="1:56" ht="44.25" customHeight="1" x14ac:dyDescent="0.25">
      <c r="A40" s="7" t="s">
        <v>61</v>
      </c>
      <c r="B40" s="2" t="s">
        <v>461</v>
      </c>
      <c r="C40" s="2" t="s">
        <v>462</v>
      </c>
      <c r="D40" s="2" t="s">
        <v>463</v>
      </c>
      <c r="F40" s="3" t="s">
        <v>61</v>
      </c>
      <c r="G40" s="3" t="s">
        <v>60</v>
      </c>
      <c r="H40" s="3" t="s">
        <v>61</v>
      </c>
      <c r="I40" s="3" t="s">
        <v>61</v>
      </c>
      <c r="J40" s="3" t="s">
        <v>62</v>
      </c>
      <c r="K40" s="2" t="s">
        <v>464</v>
      </c>
      <c r="L40" s="2" t="s">
        <v>465</v>
      </c>
      <c r="M40" s="3" t="s">
        <v>466</v>
      </c>
      <c r="O40" s="3" t="s">
        <v>114</v>
      </c>
      <c r="P40" s="3" t="s">
        <v>192</v>
      </c>
      <c r="R40" s="3" t="s">
        <v>68</v>
      </c>
      <c r="S40" s="4">
        <v>0</v>
      </c>
      <c r="T40" s="4">
        <v>0</v>
      </c>
      <c r="U40" s="5" t="s">
        <v>467</v>
      </c>
      <c r="V40" s="5" t="s">
        <v>467</v>
      </c>
      <c r="W40" s="5" t="s">
        <v>265</v>
      </c>
      <c r="X40" s="5" t="s">
        <v>265</v>
      </c>
      <c r="Y40" s="4">
        <v>440</v>
      </c>
      <c r="Z40" s="4">
        <v>295</v>
      </c>
      <c r="AA40" s="4">
        <v>299</v>
      </c>
      <c r="AB40" s="4">
        <v>3</v>
      </c>
      <c r="AC40" s="4">
        <v>3</v>
      </c>
      <c r="AD40" s="4">
        <v>13</v>
      </c>
      <c r="AE40" s="4">
        <v>13</v>
      </c>
      <c r="AF40" s="4">
        <v>3</v>
      </c>
      <c r="AG40" s="4">
        <v>3</v>
      </c>
      <c r="AH40" s="4">
        <v>5</v>
      </c>
      <c r="AI40" s="4">
        <v>5</v>
      </c>
      <c r="AJ40" s="4">
        <v>8</v>
      </c>
      <c r="AK40" s="4">
        <v>8</v>
      </c>
      <c r="AL40" s="4">
        <v>2</v>
      </c>
      <c r="AM40" s="4">
        <v>2</v>
      </c>
      <c r="AN40" s="4">
        <v>0</v>
      </c>
      <c r="AO40" s="4">
        <v>0</v>
      </c>
      <c r="AP40" s="3" t="s">
        <v>61</v>
      </c>
      <c r="AQ40" s="3" t="s">
        <v>59</v>
      </c>
      <c r="AR40" s="6" t="str">
        <f>HYPERLINK("http://catalog.hathitrust.org/Record/000216038","HathiTrust Record")</f>
        <v>HathiTrust Record</v>
      </c>
      <c r="AS40" s="6" t="str">
        <f>HYPERLINK("https://creighton-primo.hosted.exlibrisgroup.com/primo-explore/search?tab=default_tab&amp;search_scope=EVERYTHING&amp;vid=01CRU&amp;lang=en_US&amp;offset=0&amp;query=any,contains,991004605759702656","Catalog Record")</f>
        <v>Catalog Record</v>
      </c>
      <c r="AT40" s="6" t="str">
        <f>HYPERLINK("http://www.worldcat.org/oclc/4194422","WorldCat Record")</f>
        <v>WorldCat Record</v>
      </c>
      <c r="AU40" s="3" t="s">
        <v>468</v>
      </c>
      <c r="AV40" s="3" t="s">
        <v>469</v>
      </c>
      <c r="AW40" s="3" t="s">
        <v>470</v>
      </c>
      <c r="AX40" s="3" t="s">
        <v>470</v>
      </c>
      <c r="AY40" s="3" t="s">
        <v>471</v>
      </c>
      <c r="AZ40" s="3" t="s">
        <v>75</v>
      </c>
      <c r="BB40" s="3" t="s">
        <v>472</v>
      </c>
      <c r="BC40" s="3" t="s">
        <v>473</v>
      </c>
      <c r="BD40" s="3" t="s">
        <v>474</v>
      </c>
    </row>
    <row r="41" spans="1:56" ht="44.25" customHeight="1" x14ac:dyDescent="0.25">
      <c r="A41" s="7" t="s">
        <v>61</v>
      </c>
      <c r="B41" s="2" t="s">
        <v>475</v>
      </c>
      <c r="C41" s="2" t="s">
        <v>476</v>
      </c>
      <c r="D41" s="2" t="s">
        <v>477</v>
      </c>
      <c r="F41" s="3" t="s">
        <v>61</v>
      </c>
      <c r="G41" s="3" t="s">
        <v>60</v>
      </c>
      <c r="H41" s="3" t="s">
        <v>61</v>
      </c>
      <c r="I41" s="3" t="s">
        <v>61</v>
      </c>
      <c r="J41" s="3" t="s">
        <v>62</v>
      </c>
      <c r="K41" s="2" t="s">
        <v>478</v>
      </c>
      <c r="L41" s="2" t="s">
        <v>479</v>
      </c>
      <c r="M41" s="3" t="s">
        <v>379</v>
      </c>
      <c r="O41" s="3" t="s">
        <v>114</v>
      </c>
      <c r="P41" s="3" t="s">
        <v>192</v>
      </c>
      <c r="Q41" s="2" t="s">
        <v>480</v>
      </c>
      <c r="R41" s="3" t="s">
        <v>68</v>
      </c>
      <c r="S41" s="4">
        <v>1</v>
      </c>
      <c r="T41" s="4">
        <v>1</v>
      </c>
      <c r="U41" s="5" t="s">
        <v>481</v>
      </c>
      <c r="V41" s="5" t="s">
        <v>481</v>
      </c>
      <c r="W41" s="5" t="s">
        <v>482</v>
      </c>
      <c r="X41" s="5" t="s">
        <v>482</v>
      </c>
      <c r="Y41" s="4">
        <v>258</v>
      </c>
      <c r="Z41" s="4">
        <v>202</v>
      </c>
      <c r="AA41" s="4">
        <v>258</v>
      </c>
      <c r="AB41" s="4">
        <v>1</v>
      </c>
      <c r="AC41" s="4">
        <v>1</v>
      </c>
      <c r="AD41" s="4">
        <v>9</v>
      </c>
      <c r="AE41" s="4">
        <v>9</v>
      </c>
      <c r="AF41" s="4">
        <v>2</v>
      </c>
      <c r="AG41" s="4">
        <v>2</v>
      </c>
      <c r="AH41" s="4">
        <v>4</v>
      </c>
      <c r="AI41" s="4">
        <v>4</v>
      </c>
      <c r="AJ41" s="4">
        <v>6</v>
      </c>
      <c r="AK41" s="4">
        <v>6</v>
      </c>
      <c r="AL41" s="4">
        <v>0</v>
      </c>
      <c r="AM41" s="4">
        <v>0</v>
      </c>
      <c r="AN41" s="4">
        <v>0</v>
      </c>
      <c r="AO41" s="4">
        <v>0</v>
      </c>
      <c r="AP41" s="3" t="s">
        <v>61</v>
      </c>
      <c r="AQ41" s="3" t="s">
        <v>61</v>
      </c>
      <c r="AS41" s="6" t="str">
        <f>HYPERLINK("https://creighton-primo.hosted.exlibrisgroup.com/primo-explore/search?tab=default_tab&amp;search_scope=EVERYTHING&amp;vid=01CRU&amp;lang=en_US&amp;offset=0&amp;query=any,contains,991003689149702656","Catalog Record")</f>
        <v>Catalog Record</v>
      </c>
      <c r="AT41" s="6" t="str">
        <f>HYPERLINK("http://www.worldcat.org/oclc/44039456","WorldCat Record")</f>
        <v>WorldCat Record</v>
      </c>
      <c r="AU41" s="3" t="s">
        <v>483</v>
      </c>
      <c r="AV41" s="3" t="s">
        <v>484</v>
      </c>
      <c r="AW41" s="3" t="s">
        <v>485</v>
      </c>
      <c r="AX41" s="3" t="s">
        <v>485</v>
      </c>
      <c r="AY41" s="3" t="s">
        <v>486</v>
      </c>
      <c r="AZ41" s="3" t="s">
        <v>75</v>
      </c>
      <c r="BB41" s="3" t="s">
        <v>487</v>
      </c>
      <c r="BC41" s="3" t="s">
        <v>488</v>
      </c>
      <c r="BD41" s="3" t="s">
        <v>489</v>
      </c>
    </row>
    <row r="42" spans="1:56" ht="44.25" customHeight="1" x14ac:dyDescent="0.25">
      <c r="A42" s="7" t="s">
        <v>61</v>
      </c>
      <c r="B42" s="2" t="s">
        <v>490</v>
      </c>
      <c r="C42" s="2" t="s">
        <v>491</v>
      </c>
      <c r="D42" s="2" t="s">
        <v>492</v>
      </c>
      <c r="F42" s="3" t="s">
        <v>61</v>
      </c>
      <c r="G42" s="3" t="s">
        <v>60</v>
      </c>
      <c r="H42" s="3" t="s">
        <v>61</v>
      </c>
      <c r="I42" s="3" t="s">
        <v>61</v>
      </c>
      <c r="J42" s="3" t="s">
        <v>62</v>
      </c>
      <c r="K42" s="2" t="s">
        <v>493</v>
      </c>
      <c r="L42" s="2" t="s">
        <v>494</v>
      </c>
      <c r="M42" s="3" t="s">
        <v>495</v>
      </c>
      <c r="O42" s="3" t="s">
        <v>114</v>
      </c>
      <c r="P42" s="3" t="s">
        <v>235</v>
      </c>
      <c r="R42" s="3" t="s">
        <v>68</v>
      </c>
      <c r="S42" s="4">
        <v>5</v>
      </c>
      <c r="T42" s="4">
        <v>5</v>
      </c>
      <c r="U42" s="5" t="s">
        <v>496</v>
      </c>
      <c r="V42" s="5" t="s">
        <v>496</v>
      </c>
      <c r="W42" s="5" t="s">
        <v>497</v>
      </c>
      <c r="X42" s="5" t="s">
        <v>497</v>
      </c>
      <c r="Y42" s="4">
        <v>274</v>
      </c>
      <c r="Z42" s="4">
        <v>168</v>
      </c>
      <c r="AA42" s="4">
        <v>176</v>
      </c>
      <c r="AB42" s="4">
        <v>2</v>
      </c>
      <c r="AC42" s="4">
        <v>2</v>
      </c>
      <c r="AD42" s="4">
        <v>9</v>
      </c>
      <c r="AE42" s="4">
        <v>10</v>
      </c>
      <c r="AF42" s="4">
        <v>1</v>
      </c>
      <c r="AG42" s="4">
        <v>2</v>
      </c>
      <c r="AH42" s="4">
        <v>4</v>
      </c>
      <c r="AI42" s="4">
        <v>4</v>
      </c>
      <c r="AJ42" s="4">
        <v>6</v>
      </c>
      <c r="AK42" s="4">
        <v>7</v>
      </c>
      <c r="AL42" s="4">
        <v>1</v>
      </c>
      <c r="AM42" s="4">
        <v>1</v>
      </c>
      <c r="AN42" s="4">
        <v>0</v>
      </c>
      <c r="AO42" s="4">
        <v>0</v>
      </c>
      <c r="AP42" s="3" t="s">
        <v>61</v>
      </c>
      <c r="AQ42" s="3" t="s">
        <v>61</v>
      </c>
      <c r="AS42" s="6" t="str">
        <f>HYPERLINK("https://creighton-primo.hosted.exlibrisgroup.com/primo-explore/search?tab=default_tab&amp;search_scope=EVERYTHING&amp;vid=01CRU&amp;lang=en_US&amp;offset=0&amp;query=any,contains,991002617369702656","Catalog Record")</f>
        <v>Catalog Record</v>
      </c>
      <c r="AT42" s="6" t="str">
        <f>HYPERLINK("http://www.worldcat.org/oclc/34318739","WorldCat Record")</f>
        <v>WorldCat Record</v>
      </c>
      <c r="AU42" s="3" t="s">
        <v>498</v>
      </c>
      <c r="AV42" s="3" t="s">
        <v>499</v>
      </c>
      <c r="AW42" s="3" t="s">
        <v>500</v>
      </c>
      <c r="AX42" s="3" t="s">
        <v>500</v>
      </c>
      <c r="AY42" s="3" t="s">
        <v>501</v>
      </c>
      <c r="AZ42" s="3" t="s">
        <v>75</v>
      </c>
      <c r="BB42" s="3" t="s">
        <v>502</v>
      </c>
      <c r="BC42" s="3" t="s">
        <v>503</v>
      </c>
      <c r="BD42" s="3" t="s">
        <v>504</v>
      </c>
    </row>
    <row r="43" spans="1:56" ht="44.25" customHeight="1" x14ac:dyDescent="0.25">
      <c r="A43" s="7" t="s">
        <v>61</v>
      </c>
      <c r="B43" s="2" t="s">
        <v>505</v>
      </c>
      <c r="C43" s="2" t="s">
        <v>506</v>
      </c>
      <c r="D43" s="2" t="s">
        <v>507</v>
      </c>
      <c r="F43" s="3" t="s">
        <v>61</v>
      </c>
      <c r="G43" s="3" t="s">
        <v>60</v>
      </c>
      <c r="H43" s="3" t="s">
        <v>61</v>
      </c>
      <c r="I43" s="3" t="s">
        <v>61</v>
      </c>
      <c r="J43" s="3" t="s">
        <v>62</v>
      </c>
      <c r="K43" s="2" t="s">
        <v>508</v>
      </c>
      <c r="L43" s="2" t="s">
        <v>509</v>
      </c>
      <c r="M43" s="3" t="s">
        <v>220</v>
      </c>
      <c r="O43" s="3" t="s">
        <v>114</v>
      </c>
      <c r="P43" s="3" t="s">
        <v>192</v>
      </c>
      <c r="R43" s="3" t="s">
        <v>68</v>
      </c>
      <c r="S43" s="4">
        <v>3</v>
      </c>
      <c r="T43" s="4">
        <v>3</v>
      </c>
      <c r="U43" s="5" t="s">
        <v>510</v>
      </c>
      <c r="V43" s="5" t="s">
        <v>510</v>
      </c>
      <c r="W43" s="5" t="s">
        <v>511</v>
      </c>
      <c r="X43" s="5" t="s">
        <v>511</v>
      </c>
      <c r="Y43" s="4">
        <v>105</v>
      </c>
      <c r="Z43" s="4">
        <v>62</v>
      </c>
      <c r="AA43" s="4">
        <v>95</v>
      </c>
      <c r="AB43" s="4">
        <v>1</v>
      </c>
      <c r="AC43" s="4">
        <v>1</v>
      </c>
      <c r="AD43" s="4">
        <v>4</v>
      </c>
      <c r="AE43" s="4">
        <v>4</v>
      </c>
      <c r="AF43" s="4">
        <v>0</v>
      </c>
      <c r="AG43" s="4">
        <v>0</v>
      </c>
      <c r="AH43" s="4">
        <v>4</v>
      </c>
      <c r="AI43" s="4">
        <v>4</v>
      </c>
      <c r="AJ43" s="4">
        <v>2</v>
      </c>
      <c r="AK43" s="4">
        <v>2</v>
      </c>
      <c r="AL43" s="4">
        <v>0</v>
      </c>
      <c r="AM43" s="4">
        <v>0</v>
      </c>
      <c r="AN43" s="4">
        <v>0</v>
      </c>
      <c r="AO43" s="4">
        <v>0</v>
      </c>
      <c r="AP43" s="3" t="s">
        <v>61</v>
      </c>
      <c r="AQ43" s="3" t="s">
        <v>59</v>
      </c>
      <c r="AR43" s="6" t="str">
        <f>HYPERLINK("http://catalog.hathitrust.org/Record/004283806","HathiTrust Record")</f>
        <v>HathiTrust Record</v>
      </c>
      <c r="AS43" s="6" t="str">
        <f>HYPERLINK("https://creighton-primo.hosted.exlibrisgroup.com/primo-explore/search?tab=default_tab&amp;search_scope=EVERYTHING&amp;vid=01CRU&amp;lang=en_US&amp;offset=0&amp;query=any,contains,991004132849702656","Catalog Record")</f>
        <v>Catalog Record</v>
      </c>
      <c r="AT43" s="6" t="str">
        <f>HYPERLINK("http://www.worldcat.org/oclc/50525412","WorldCat Record")</f>
        <v>WorldCat Record</v>
      </c>
      <c r="AU43" s="3" t="s">
        <v>512</v>
      </c>
      <c r="AV43" s="3" t="s">
        <v>513</v>
      </c>
      <c r="AW43" s="3" t="s">
        <v>514</v>
      </c>
      <c r="AX43" s="3" t="s">
        <v>514</v>
      </c>
      <c r="AY43" s="3" t="s">
        <v>515</v>
      </c>
      <c r="AZ43" s="3" t="s">
        <v>75</v>
      </c>
      <c r="BB43" s="3" t="s">
        <v>516</v>
      </c>
      <c r="BC43" s="3" t="s">
        <v>517</v>
      </c>
      <c r="BD43" s="3" t="s">
        <v>518</v>
      </c>
    </row>
    <row r="44" spans="1:56" ht="44.25" customHeight="1" x14ac:dyDescent="0.25">
      <c r="A44" s="7" t="s">
        <v>61</v>
      </c>
      <c r="B44" s="2" t="s">
        <v>519</v>
      </c>
      <c r="C44" s="2" t="s">
        <v>520</v>
      </c>
      <c r="D44" s="2" t="s">
        <v>521</v>
      </c>
      <c r="F44" s="3" t="s">
        <v>61</v>
      </c>
      <c r="G44" s="3" t="s">
        <v>60</v>
      </c>
      <c r="H44" s="3" t="s">
        <v>61</v>
      </c>
      <c r="I44" s="3" t="s">
        <v>61</v>
      </c>
      <c r="J44" s="3" t="s">
        <v>62</v>
      </c>
      <c r="K44" s="2" t="s">
        <v>522</v>
      </c>
      <c r="L44" s="2" t="s">
        <v>450</v>
      </c>
      <c r="M44" s="3" t="s">
        <v>451</v>
      </c>
      <c r="O44" s="3" t="s">
        <v>114</v>
      </c>
      <c r="P44" s="3" t="s">
        <v>192</v>
      </c>
      <c r="Q44" s="2" t="s">
        <v>523</v>
      </c>
      <c r="R44" s="3" t="s">
        <v>68</v>
      </c>
      <c r="S44" s="4">
        <v>1</v>
      </c>
      <c r="T44" s="4">
        <v>1</v>
      </c>
      <c r="U44" s="5" t="s">
        <v>496</v>
      </c>
      <c r="V44" s="5" t="s">
        <v>496</v>
      </c>
      <c r="W44" s="5" t="s">
        <v>524</v>
      </c>
      <c r="X44" s="5" t="s">
        <v>524</v>
      </c>
      <c r="Y44" s="4">
        <v>211</v>
      </c>
      <c r="Z44" s="4">
        <v>98</v>
      </c>
      <c r="AA44" s="4">
        <v>132</v>
      </c>
      <c r="AB44" s="4">
        <v>1</v>
      </c>
      <c r="AC44" s="4">
        <v>1</v>
      </c>
      <c r="AD44" s="4">
        <v>6</v>
      </c>
      <c r="AE44" s="4">
        <v>6</v>
      </c>
      <c r="AF44" s="4">
        <v>2</v>
      </c>
      <c r="AG44" s="4">
        <v>2</v>
      </c>
      <c r="AH44" s="4">
        <v>3</v>
      </c>
      <c r="AI44" s="4">
        <v>3</v>
      </c>
      <c r="AJ44" s="4">
        <v>5</v>
      </c>
      <c r="AK44" s="4">
        <v>5</v>
      </c>
      <c r="AL44" s="4">
        <v>0</v>
      </c>
      <c r="AM44" s="4">
        <v>0</v>
      </c>
      <c r="AN44" s="4">
        <v>0</v>
      </c>
      <c r="AO44" s="4">
        <v>0</v>
      </c>
      <c r="AP44" s="3" t="s">
        <v>61</v>
      </c>
      <c r="AQ44" s="3" t="s">
        <v>59</v>
      </c>
      <c r="AR44" s="6" t="str">
        <f>HYPERLINK("http://catalog.hathitrust.org/Record/004309444","HathiTrust Record")</f>
        <v>HathiTrust Record</v>
      </c>
      <c r="AS44" s="6" t="str">
        <f>HYPERLINK("https://creighton-primo.hosted.exlibrisgroup.com/primo-explore/search?tab=default_tab&amp;search_scope=EVERYTHING&amp;vid=01CRU&amp;lang=en_US&amp;offset=0&amp;query=any,contains,991002955409702656","Catalog Record")</f>
        <v>Catalog Record</v>
      </c>
      <c r="AT44" s="6" t="str">
        <f>HYPERLINK("http://www.worldcat.org/oclc/39442771","WorldCat Record")</f>
        <v>WorldCat Record</v>
      </c>
      <c r="AU44" s="3" t="s">
        <v>525</v>
      </c>
      <c r="AV44" s="3" t="s">
        <v>526</v>
      </c>
      <c r="AW44" s="3" t="s">
        <v>527</v>
      </c>
      <c r="AX44" s="3" t="s">
        <v>527</v>
      </c>
      <c r="AY44" s="3" t="s">
        <v>528</v>
      </c>
      <c r="AZ44" s="3" t="s">
        <v>75</v>
      </c>
      <c r="BB44" s="3" t="s">
        <v>529</v>
      </c>
      <c r="BC44" s="3" t="s">
        <v>530</v>
      </c>
      <c r="BD44" s="3" t="s">
        <v>531</v>
      </c>
    </row>
    <row r="45" spans="1:56" ht="44.25" customHeight="1" x14ac:dyDescent="0.25">
      <c r="A45" s="7" t="s">
        <v>61</v>
      </c>
      <c r="B45" s="2" t="s">
        <v>532</v>
      </c>
      <c r="C45" s="2" t="s">
        <v>533</v>
      </c>
      <c r="D45" s="2" t="s">
        <v>534</v>
      </c>
      <c r="F45" s="3" t="s">
        <v>61</v>
      </c>
      <c r="G45" s="3" t="s">
        <v>60</v>
      </c>
      <c r="H45" s="3" t="s">
        <v>61</v>
      </c>
      <c r="I45" s="3" t="s">
        <v>61</v>
      </c>
      <c r="J45" s="3" t="s">
        <v>62</v>
      </c>
      <c r="L45" s="2" t="s">
        <v>535</v>
      </c>
      <c r="M45" s="3" t="s">
        <v>536</v>
      </c>
      <c r="O45" s="3" t="s">
        <v>114</v>
      </c>
      <c r="P45" s="3" t="s">
        <v>115</v>
      </c>
      <c r="Q45" s="2" t="s">
        <v>537</v>
      </c>
      <c r="R45" s="3" t="s">
        <v>68</v>
      </c>
      <c r="S45" s="4">
        <v>2</v>
      </c>
      <c r="T45" s="4">
        <v>2</v>
      </c>
      <c r="U45" s="5" t="s">
        <v>538</v>
      </c>
      <c r="V45" s="5" t="s">
        <v>538</v>
      </c>
      <c r="W45" s="5" t="s">
        <v>539</v>
      </c>
      <c r="X45" s="5" t="s">
        <v>539</v>
      </c>
      <c r="Y45" s="4">
        <v>342</v>
      </c>
      <c r="Z45" s="4">
        <v>249</v>
      </c>
      <c r="AA45" s="4">
        <v>254</v>
      </c>
      <c r="AB45" s="4">
        <v>3</v>
      </c>
      <c r="AC45" s="4">
        <v>3</v>
      </c>
      <c r="AD45" s="4">
        <v>17</v>
      </c>
      <c r="AE45" s="4">
        <v>17</v>
      </c>
      <c r="AF45" s="4">
        <v>4</v>
      </c>
      <c r="AG45" s="4">
        <v>4</v>
      </c>
      <c r="AH45" s="4">
        <v>6</v>
      </c>
      <c r="AI45" s="4">
        <v>6</v>
      </c>
      <c r="AJ45" s="4">
        <v>9</v>
      </c>
      <c r="AK45" s="4">
        <v>9</v>
      </c>
      <c r="AL45" s="4">
        <v>2</v>
      </c>
      <c r="AM45" s="4">
        <v>2</v>
      </c>
      <c r="AN45" s="4">
        <v>0</v>
      </c>
      <c r="AO45" s="4">
        <v>0</v>
      </c>
      <c r="AP45" s="3" t="s">
        <v>61</v>
      </c>
      <c r="AQ45" s="3" t="s">
        <v>61</v>
      </c>
      <c r="AS45" s="6" t="str">
        <f>HYPERLINK("https://creighton-primo.hosted.exlibrisgroup.com/primo-explore/search?tab=default_tab&amp;search_scope=EVERYTHING&amp;vid=01CRU&amp;lang=en_US&amp;offset=0&amp;query=any,contains,991002814689702656","Catalog Record")</f>
        <v>Catalog Record</v>
      </c>
      <c r="AT45" s="6" t="str">
        <f>HYPERLINK("http://www.worldcat.org/oclc/36969778","WorldCat Record")</f>
        <v>WorldCat Record</v>
      </c>
      <c r="AU45" s="3" t="s">
        <v>540</v>
      </c>
      <c r="AV45" s="3" t="s">
        <v>541</v>
      </c>
      <c r="AW45" s="3" t="s">
        <v>542</v>
      </c>
      <c r="AX45" s="3" t="s">
        <v>542</v>
      </c>
      <c r="AY45" s="3" t="s">
        <v>543</v>
      </c>
      <c r="AZ45" s="3" t="s">
        <v>75</v>
      </c>
      <c r="BB45" s="3" t="s">
        <v>544</v>
      </c>
      <c r="BC45" s="3" t="s">
        <v>545</v>
      </c>
      <c r="BD45" s="3" t="s">
        <v>546</v>
      </c>
    </row>
    <row r="46" spans="1:56" ht="44.25" customHeight="1" x14ac:dyDescent="0.25">
      <c r="A46" s="7" t="s">
        <v>61</v>
      </c>
      <c r="B46" s="2" t="s">
        <v>547</v>
      </c>
      <c r="C46" s="2" t="s">
        <v>548</v>
      </c>
      <c r="D46" s="2" t="s">
        <v>549</v>
      </c>
      <c r="F46" s="3" t="s">
        <v>61</v>
      </c>
      <c r="G46" s="3" t="s">
        <v>60</v>
      </c>
      <c r="H46" s="3" t="s">
        <v>61</v>
      </c>
      <c r="I46" s="3" t="s">
        <v>61</v>
      </c>
      <c r="J46" s="3" t="s">
        <v>62</v>
      </c>
      <c r="K46" s="2" t="s">
        <v>550</v>
      </c>
      <c r="L46" s="2" t="s">
        <v>551</v>
      </c>
      <c r="M46" s="3" t="s">
        <v>552</v>
      </c>
      <c r="O46" s="3" t="s">
        <v>114</v>
      </c>
      <c r="P46" s="3" t="s">
        <v>235</v>
      </c>
      <c r="Q46" s="2" t="s">
        <v>553</v>
      </c>
      <c r="R46" s="3" t="s">
        <v>68</v>
      </c>
      <c r="S46" s="4">
        <v>4</v>
      </c>
      <c r="T46" s="4">
        <v>4</v>
      </c>
      <c r="U46" s="5" t="s">
        <v>554</v>
      </c>
      <c r="V46" s="5" t="s">
        <v>554</v>
      </c>
      <c r="W46" s="5" t="s">
        <v>555</v>
      </c>
      <c r="X46" s="5" t="s">
        <v>555</v>
      </c>
      <c r="Y46" s="4">
        <v>155</v>
      </c>
      <c r="Z46" s="4">
        <v>133</v>
      </c>
      <c r="AA46" s="4">
        <v>210</v>
      </c>
      <c r="AB46" s="4">
        <v>1</v>
      </c>
      <c r="AC46" s="4">
        <v>2</v>
      </c>
      <c r="AD46" s="4">
        <v>6</v>
      </c>
      <c r="AE46" s="4">
        <v>10</v>
      </c>
      <c r="AF46" s="4">
        <v>2</v>
      </c>
      <c r="AG46" s="4">
        <v>2</v>
      </c>
      <c r="AH46" s="4">
        <v>2</v>
      </c>
      <c r="AI46" s="4">
        <v>3</v>
      </c>
      <c r="AJ46" s="4">
        <v>3</v>
      </c>
      <c r="AK46" s="4">
        <v>4</v>
      </c>
      <c r="AL46" s="4">
        <v>0</v>
      </c>
      <c r="AM46" s="4">
        <v>1</v>
      </c>
      <c r="AN46" s="4">
        <v>0</v>
      </c>
      <c r="AO46" s="4">
        <v>2</v>
      </c>
      <c r="AP46" s="3" t="s">
        <v>61</v>
      </c>
      <c r="AQ46" s="3" t="s">
        <v>61</v>
      </c>
      <c r="AS46" s="6" t="str">
        <f>HYPERLINK("https://creighton-primo.hosted.exlibrisgroup.com/primo-explore/search?tab=default_tab&amp;search_scope=EVERYTHING&amp;vid=01CRU&amp;lang=en_US&amp;offset=0&amp;query=any,contains,991001490369702656","Catalog Record")</f>
        <v>Catalog Record</v>
      </c>
      <c r="AT46" s="6" t="str">
        <f>HYPERLINK("http://www.worldcat.org/oclc/19722388","WorldCat Record")</f>
        <v>WorldCat Record</v>
      </c>
      <c r="AU46" s="3" t="s">
        <v>556</v>
      </c>
      <c r="AV46" s="3" t="s">
        <v>557</v>
      </c>
      <c r="AW46" s="3" t="s">
        <v>558</v>
      </c>
      <c r="AX46" s="3" t="s">
        <v>558</v>
      </c>
      <c r="AY46" s="3" t="s">
        <v>559</v>
      </c>
      <c r="AZ46" s="3" t="s">
        <v>75</v>
      </c>
      <c r="BB46" s="3" t="s">
        <v>560</v>
      </c>
      <c r="BC46" s="3" t="s">
        <v>561</v>
      </c>
      <c r="BD46" s="3" t="s">
        <v>562</v>
      </c>
    </row>
    <row r="47" spans="1:56" ht="44.25" customHeight="1" x14ac:dyDescent="0.25">
      <c r="A47" s="7" t="s">
        <v>61</v>
      </c>
      <c r="B47" s="2" t="s">
        <v>563</v>
      </c>
      <c r="C47" s="2" t="s">
        <v>564</v>
      </c>
      <c r="D47" s="2" t="s">
        <v>565</v>
      </c>
      <c r="F47" s="3" t="s">
        <v>61</v>
      </c>
      <c r="G47" s="3" t="s">
        <v>60</v>
      </c>
      <c r="H47" s="3" t="s">
        <v>61</v>
      </c>
      <c r="I47" s="3" t="s">
        <v>61</v>
      </c>
      <c r="J47" s="3" t="s">
        <v>62</v>
      </c>
      <c r="L47" s="2" t="s">
        <v>566</v>
      </c>
      <c r="M47" s="3" t="s">
        <v>205</v>
      </c>
      <c r="O47" s="3" t="s">
        <v>114</v>
      </c>
      <c r="P47" s="3" t="s">
        <v>192</v>
      </c>
      <c r="R47" s="3" t="s">
        <v>68</v>
      </c>
      <c r="S47" s="4">
        <v>2</v>
      </c>
      <c r="T47" s="4">
        <v>2</v>
      </c>
      <c r="U47" s="5" t="s">
        <v>554</v>
      </c>
      <c r="V47" s="5" t="s">
        <v>554</v>
      </c>
      <c r="W47" s="5" t="s">
        <v>265</v>
      </c>
      <c r="X47" s="5" t="s">
        <v>265</v>
      </c>
      <c r="Y47" s="4">
        <v>537</v>
      </c>
      <c r="Z47" s="4">
        <v>387</v>
      </c>
      <c r="AA47" s="4">
        <v>396</v>
      </c>
      <c r="AB47" s="4">
        <v>3</v>
      </c>
      <c r="AC47" s="4">
        <v>3</v>
      </c>
      <c r="AD47" s="4">
        <v>22</v>
      </c>
      <c r="AE47" s="4">
        <v>22</v>
      </c>
      <c r="AF47" s="4">
        <v>7</v>
      </c>
      <c r="AG47" s="4">
        <v>7</v>
      </c>
      <c r="AH47" s="4">
        <v>6</v>
      </c>
      <c r="AI47" s="4">
        <v>6</v>
      </c>
      <c r="AJ47" s="4">
        <v>13</v>
      </c>
      <c r="AK47" s="4">
        <v>13</v>
      </c>
      <c r="AL47" s="4">
        <v>2</v>
      </c>
      <c r="AM47" s="4">
        <v>2</v>
      </c>
      <c r="AN47" s="4">
        <v>0</v>
      </c>
      <c r="AO47" s="4">
        <v>0</v>
      </c>
      <c r="AP47" s="3" t="s">
        <v>61</v>
      </c>
      <c r="AQ47" s="3" t="s">
        <v>61</v>
      </c>
      <c r="AS47" s="6" t="str">
        <f>HYPERLINK("https://creighton-primo.hosted.exlibrisgroup.com/primo-explore/search?tab=default_tab&amp;search_scope=EVERYTHING&amp;vid=01CRU&amp;lang=en_US&amp;offset=0&amp;query=any,contains,991000274239702656","Catalog Record")</f>
        <v>Catalog Record</v>
      </c>
      <c r="AT47" s="6" t="str">
        <f>HYPERLINK("http://www.worldcat.org/oclc/9893822","WorldCat Record")</f>
        <v>WorldCat Record</v>
      </c>
      <c r="AU47" s="3" t="s">
        <v>567</v>
      </c>
      <c r="AV47" s="3" t="s">
        <v>568</v>
      </c>
      <c r="AW47" s="3" t="s">
        <v>569</v>
      </c>
      <c r="AX47" s="3" t="s">
        <v>569</v>
      </c>
      <c r="AY47" s="3" t="s">
        <v>570</v>
      </c>
      <c r="AZ47" s="3" t="s">
        <v>75</v>
      </c>
      <c r="BB47" s="3" t="s">
        <v>571</v>
      </c>
      <c r="BC47" s="3" t="s">
        <v>572</v>
      </c>
      <c r="BD47" s="3" t="s">
        <v>573</v>
      </c>
    </row>
    <row r="48" spans="1:56" ht="44.25" customHeight="1" x14ac:dyDescent="0.25">
      <c r="A48" s="7" t="s">
        <v>61</v>
      </c>
      <c r="B48" s="2" t="s">
        <v>574</v>
      </c>
      <c r="C48" s="2" t="s">
        <v>575</v>
      </c>
      <c r="D48" s="2" t="s">
        <v>576</v>
      </c>
      <c r="F48" s="3" t="s">
        <v>61</v>
      </c>
      <c r="G48" s="3" t="s">
        <v>60</v>
      </c>
      <c r="H48" s="3" t="s">
        <v>61</v>
      </c>
      <c r="I48" s="3" t="s">
        <v>61</v>
      </c>
      <c r="J48" s="3" t="s">
        <v>62</v>
      </c>
      <c r="K48" s="2" t="s">
        <v>577</v>
      </c>
      <c r="L48" s="2" t="s">
        <v>578</v>
      </c>
      <c r="M48" s="3" t="s">
        <v>579</v>
      </c>
      <c r="O48" s="3" t="s">
        <v>114</v>
      </c>
      <c r="P48" s="3" t="s">
        <v>437</v>
      </c>
      <c r="R48" s="3" t="s">
        <v>68</v>
      </c>
      <c r="S48" s="4">
        <v>4</v>
      </c>
      <c r="T48" s="4">
        <v>4</v>
      </c>
      <c r="U48" s="5" t="s">
        <v>554</v>
      </c>
      <c r="V48" s="5" t="s">
        <v>554</v>
      </c>
      <c r="W48" s="5" t="s">
        <v>321</v>
      </c>
      <c r="X48" s="5" t="s">
        <v>321</v>
      </c>
      <c r="Y48" s="4">
        <v>136</v>
      </c>
      <c r="Z48" s="4">
        <v>116</v>
      </c>
      <c r="AA48" s="4">
        <v>129</v>
      </c>
      <c r="AB48" s="4">
        <v>2</v>
      </c>
      <c r="AC48" s="4">
        <v>2</v>
      </c>
      <c r="AD48" s="4">
        <v>3</v>
      </c>
      <c r="AE48" s="4">
        <v>3</v>
      </c>
      <c r="AF48" s="4">
        <v>0</v>
      </c>
      <c r="AG48" s="4">
        <v>0</v>
      </c>
      <c r="AH48" s="4">
        <v>1</v>
      </c>
      <c r="AI48" s="4">
        <v>1</v>
      </c>
      <c r="AJ48" s="4">
        <v>2</v>
      </c>
      <c r="AK48" s="4">
        <v>2</v>
      </c>
      <c r="AL48" s="4">
        <v>1</v>
      </c>
      <c r="AM48" s="4">
        <v>1</v>
      </c>
      <c r="AN48" s="4">
        <v>0</v>
      </c>
      <c r="AO48" s="4">
        <v>0</v>
      </c>
      <c r="AP48" s="3" t="s">
        <v>61</v>
      </c>
      <c r="AQ48" s="3" t="s">
        <v>61</v>
      </c>
      <c r="AS48" s="6" t="str">
        <f>HYPERLINK("https://creighton-primo.hosted.exlibrisgroup.com/primo-explore/search?tab=default_tab&amp;search_scope=EVERYTHING&amp;vid=01CRU&amp;lang=en_US&amp;offset=0&amp;query=any,contains,991000724699702656","Catalog Record")</f>
        <v>Catalog Record</v>
      </c>
      <c r="AT48" s="6" t="str">
        <f>HYPERLINK("http://www.worldcat.org/oclc/12693654","WorldCat Record")</f>
        <v>WorldCat Record</v>
      </c>
      <c r="AU48" s="3" t="s">
        <v>580</v>
      </c>
      <c r="AV48" s="3" t="s">
        <v>581</v>
      </c>
      <c r="AW48" s="3" t="s">
        <v>582</v>
      </c>
      <c r="AX48" s="3" t="s">
        <v>582</v>
      </c>
      <c r="AY48" s="3" t="s">
        <v>583</v>
      </c>
      <c r="AZ48" s="3" t="s">
        <v>75</v>
      </c>
      <c r="BB48" s="3" t="s">
        <v>584</v>
      </c>
      <c r="BC48" s="3" t="s">
        <v>585</v>
      </c>
      <c r="BD48" s="3" t="s">
        <v>586</v>
      </c>
    </row>
    <row r="49" spans="1:56" ht="44.25" customHeight="1" x14ac:dyDescent="0.25">
      <c r="A49" s="7" t="s">
        <v>61</v>
      </c>
      <c r="B49" s="2" t="s">
        <v>587</v>
      </c>
      <c r="C49" s="2" t="s">
        <v>588</v>
      </c>
      <c r="D49" s="2" t="s">
        <v>589</v>
      </c>
      <c r="F49" s="3" t="s">
        <v>61</v>
      </c>
      <c r="G49" s="3" t="s">
        <v>60</v>
      </c>
      <c r="H49" s="3" t="s">
        <v>61</v>
      </c>
      <c r="I49" s="3" t="s">
        <v>61</v>
      </c>
      <c r="J49" s="3" t="s">
        <v>62</v>
      </c>
      <c r="L49" s="2" t="s">
        <v>590</v>
      </c>
      <c r="M49" s="3" t="s">
        <v>249</v>
      </c>
      <c r="O49" s="3" t="s">
        <v>114</v>
      </c>
      <c r="P49" s="3" t="s">
        <v>192</v>
      </c>
      <c r="R49" s="3" t="s">
        <v>68</v>
      </c>
      <c r="S49" s="4">
        <v>1</v>
      </c>
      <c r="T49" s="4">
        <v>1</v>
      </c>
      <c r="U49" s="5" t="s">
        <v>591</v>
      </c>
      <c r="V49" s="5" t="s">
        <v>591</v>
      </c>
      <c r="W49" s="5" t="s">
        <v>592</v>
      </c>
      <c r="X49" s="5" t="s">
        <v>592</v>
      </c>
      <c r="Y49" s="4">
        <v>208</v>
      </c>
      <c r="Z49" s="4">
        <v>113</v>
      </c>
      <c r="AA49" s="4">
        <v>119</v>
      </c>
      <c r="AB49" s="4">
        <v>1</v>
      </c>
      <c r="AC49" s="4">
        <v>1</v>
      </c>
      <c r="AD49" s="4">
        <v>5</v>
      </c>
      <c r="AE49" s="4">
        <v>5</v>
      </c>
      <c r="AF49" s="4">
        <v>0</v>
      </c>
      <c r="AG49" s="4">
        <v>0</v>
      </c>
      <c r="AH49" s="4">
        <v>2</v>
      </c>
      <c r="AI49" s="4">
        <v>2</v>
      </c>
      <c r="AJ49" s="4">
        <v>5</v>
      </c>
      <c r="AK49" s="4">
        <v>5</v>
      </c>
      <c r="AL49" s="4">
        <v>0</v>
      </c>
      <c r="AM49" s="4">
        <v>0</v>
      </c>
      <c r="AN49" s="4">
        <v>0</v>
      </c>
      <c r="AO49" s="4">
        <v>0</v>
      </c>
      <c r="AP49" s="3" t="s">
        <v>61</v>
      </c>
      <c r="AQ49" s="3" t="s">
        <v>59</v>
      </c>
      <c r="AR49" s="6" t="str">
        <f>HYPERLINK("http://catalog.hathitrust.org/Record/002643624","HathiTrust Record")</f>
        <v>HathiTrust Record</v>
      </c>
      <c r="AS49" s="6" t="str">
        <f>HYPERLINK("https://creighton-primo.hosted.exlibrisgroup.com/primo-explore/search?tab=default_tab&amp;search_scope=EVERYTHING&amp;vid=01CRU&amp;lang=en_US&amp;offset=0&amp;query=any,contains,991002116829702656","Catalog Record")</f>
        <v>Catalog Record</v>
      </c>
      <c r="AT49" s="6" t="str">
        <f>HYPERLINK("http://www.worldcat.org/oclc/27143758","WorldCat Record")</f>
        <v>WorldCat Record</v>
      </c>
      <c r="AU49" s="3" t="s">
        <v>593</v>
      </c>
      <c r="AV49" s="3" t="s">
        <v>594</v>
      </c>
      <c r="AW49" s="3" t="s">
        <v>595</v>
      </c>
      <c r="AX49" s="3" t="s">
        <v>595</v>
      </c>
      <c r="AY49" s="3" t="s">
        <v>596</v>
      </c>
      <c r="AZ49" s="3" t="s">
        <v>75</v>
      </c>
      <c r="BB49" s="3" t="s">
        <v>597</v>
      </c>
      <c r="BC49" s="3" t="s">
        <v>598</v>
      </c>
      <c r="BD49" s="3" t="s">
        <v>599</v>
      </c>
    </row>
    <row r="50" spans="1:56" ht="44.25" customHeight="1" x14ac:dyDescent="0.25">
      <c r="A50" s="7" t="s">
        <v>61</v>
      </c>
      <c r="B50" s="2" t="s">
        <v>600</v>
      </c>
      <c r="C50" s="2" t="s">
        <v>601</v>
      </c>
      <c r="D50" s="2" t="s">
        <v>602</v>
      </c>
      <c r="F50" s="3" t="s">
        <v>61</v>
      </c>
      <c r="G50" s="3" t="s">
        <v>60</v>
      </c>
      <c r="H50" s="3" t="s">
        <v>61</v>
      </c>
      <c r="I50" s="3" t="s">
        <v>61</v>
      </c>
      <c r="J50" s="3" t="s">
        <v>62</v>
      </c>
      <c r="K50" s="2" t="s">
        <v>603</v>
      </c>
      <c r="L50" s="2" t="s">
        <v>604</v>
      </c>
      <c r="M50" s="3" t="s">
        <v>605</v>
      </c>
      <c r="O50" s="3" t="s">
        <v>114</v>
      </c>
      <c r="P50" s="3" t="s">
        <v>235</v>
      </c>
      <c r="R50" s="3" t="s">
        <v>68</v>
      </c>
      <c r="S50" s="4">
        <v>2</v>
      </c>
      <c r="T50" s="4">
        <v>2</v>
      </c>
      <c r="U50" s="5" t="s">
        <v>606</v>
      </c>
      <c r="V50" s="5" t="s">
        <v>606</v>
      </c>
      <c r="W50" s="5" t="s">
        <v>607</v>
      </c>
      <c r="X50" s="5" t="s">
        <v>607</v>
      </c>
      <c r="Y50" s="4">
        <v>158</v>
      </c>
      <c r="Z50" s="4">
        <v>141</v>
      </c>
      <c r="AA50" s="4">
        <v>176</v>
      </c>
      <c r="AB50" s="4">
        <v>2</v>
      </c>
      <c r="AC50" s="4">
        <v>2</v>
      </c>
      <c r="AD50" s="4">
        <v>7</v>
      </c>
      <c r="AE50" s="4">
        <v>8</v>
      </c>
      <c r="AF50" s="4">
        <v>1</v>
      </c>
      <c r="AG50" s="4">
        <v>2</v>
      </c>
      <c r="AH50" s="4">
        <v>4</v>
      </c>
      <c r="AI50" s="4">
        <v>4</v>
      </c>
      <c r="AJ50" s="4">
        <v>3</v>
      </c>
      <c r="AK50" s="4">
        <v>4</v>
      </c>
      <c r="AL50" s="4">
        <v>1</v>
      </c>
      <c r="AM50" s="4">
        <v>1</v>
      </c>
      <c r="AN50" s="4">
        <v>0</v>
      </c>
      <c r="AO50" s="4">
        <v>0</v>
      </c>
      <c r="AP50" s="3" t="s">
        <v>61</v>
      </c>
      <c r="AQ50" s="3" t="s">
        <v>61</v>
      </c>
      <c r="AS50" s="6" t="str">
        <f>HYPERLINK("https://creighton-primo.hosted.exlibrisgroup.com/primo-explore/search?tab=default_tab&amp;search_scope=EVERYTHING&amp;vid=01CRU&amp;lang=en_US&amp;offset=0&amp;query=any,contains,991001923759702656","Catalog Record")</f>
        <v>Catalog Record</v>
      </c>
      <c r="AT50" s="6" t="str">
        <f>HYPERLINK("http://www.worldcat.org/oclc/24287810","WorldCat Record")</f>
        <v>WorldCat Record</v>
      </c>
      <c r="AU50" s="3" t="s">
        <v>608</v>
      </c>
      <c r="AV50" s="3" t="s">
        <v>609</v>
      </c>
      <c r="AW50" s="3" t="s">
        <v>610</v>
      </c>
      <c r="AX50" s="3" t="s">
        <v>610</v>
      </c>
      <c r="AY50" s="3" t="s">
        <v>611</v>
      </c>
      <c r="AZ50" s="3" t="s">
        <v>75</v>
      </c>
      <c r="BB50" s="3" t="s">
        <v>612</v>
      </c>
      <c r="BC50" s="3" t="s">
        <v>613</v>
      </c>
      <c r="BD50" s="3" t="s">
        <v>614</v>
      </c>
    </row>
    <row r="51" spans="1:56" ht="44.25" customHeight="1" x14ac:dyDescent="0.25">
      <c r="A51" s="7" t="s">
        <v>61</v>
      </c>
      <c r="B51" s="2" t="s">
        <v>615</v>
      </c>
      <c r="C51" s="2" t="s">
        <v>616</v>
      </c>
      <c r="D51" s="2" t="s">
        <v>617</v>
      </c>
      <c r="F51" s="3" t="s">
        <v>61</v>
      </c>
      <c r="G51" s="3" t="s">
        <v>60</v>
      </c>
      <c r="H51" s="3" t="s">
        <v>61</v>
      </c>
      <c r="I51" s="3" t="s">
        <v>61</v>
      </c>
      <c r="J51" s="3" t="s">
        <v>62</v>
      </c>
      <c r="L51" s="2" t="s">
        <v>618</v>
      </c>
      <c r="M51" s="3" t="s">
        <v>605</v>
      </c>
      <c r="O51" s="3" t="s">
        <v>114</v>
      </c>
      <c r="P51" s="3" t="s">
        <v>619</v>
      </c>
      <c r="R51" s="3" t="s">
        <v>68</v>
      </c>
      <c r="S51" s="4">
        <v>9</v>
      </c>
      <c r="T51" s="4">
        <v>9</v>
      </c>
      <c r="U51" s="5" t="s">
        <v>620</v>
      </c>
      <c r="V51" s="5" t="s">
        <v>620</v>
      </c>
      <c r="W51" s="5" t="s">
        <v>621</v>
      </c>
      <c r="X51" s="5" t="s">
        <v>621</v>
      </c>
      <c r="Y51" s="4">
        <v>747</v>
      </c>
      <c r="Z51" s="4">
        <v>629</v>
      </c>
      <c r="AA51" s="4">
        <v>634</v>
      </c>
      <c r="AB51" s="4">
        <v>3</v>
      </c>
      <c r="AC51" s="4">
        <v>3</v>
      </c>
      <c r="AD51" s="4">
        <v>26</v>
      </c>
      <c r="AE51" s="4">
        <v>26</v>
      </c>
      <c r="AF51" s="4">
        <v>9</v>
      </c>
      <c r="AG51" s="4">
        <v>9</v>
      </c>
      <c r="AH51" s="4">
        <v>5</v>
      </c>
      <c r="AI51" s="4">
        <v>5</v>
      </c>
      <c r="AJ51" s="4">
        <v>13</v>
      </c>
      <c r="AK51" s="4">
        <v>13</v>
      </c>
      <c r="AL51" s="4">
        <v>2</v>
      </c>
      <c r="AM51" s="4">
        <v>2</v>
      </c>
      <c r="AN51" s="4">
        <v>3</v>
      </c>
      <c r="AO51" s="4">
        <v>3</v>
      </c>
      <c r="AP51" s="3" t="s">
        <v>61</v>
      </c>
      <c r="AQ51" s="3" t="s">
        <v>59</v>
      </c>
      <c r="AR51" s="6" t="str">
        <f>HYPERLINK("http://catalog.hathitrust.org/Record/002547160","HathiTrust Record")</f>
        <v>HathiTrust Record</v>
      </c>
      <c r="AS51" s="6" t="str">
        <f>HYPERLINK("https://creighton-primo.hosted.exlibrisgroup.com/primo-explore/search?tab=default_tab&amp;search_scope=EVERYTHING&amp;vid=01CRU&amp;lang=en_US&amp;offset=0&amp;query=any,contains,991002012909702656","Catalog Record")</f>
        <v>Catalog Record</v>
      </c>
      <c r="AT51" s="6" t="str">
        <f>HYPERLINK("http://www.worldcat.org/oclc/25628837","WorldCat Record")</f>
        <v>WorldCat Record</v>
      </c>
      <c r="AU51" s="3" t="s">
        <v>622</v>
      </c>
      <c r="AV51" s="3" t="s">
        <v>623</v>
      </c>
      <c r="AW51" s="3" t="s">
        <v>624</v>
      </c>
      <c r="AX51" s="3" t="s">
        <v>624</v>
      </c>
      <c r="AY51" s="3" t="s">
        <v>625</v>
      </c>
      <c r="AZ51" s="3" t="s">
        <v>75</v>
      </c>
      <c r="BB51" s="3" t="s">
        <v>626</v>
      </c>
      <c r="BC51" s="3" t="s">
        <v>627</v>
      </c>
      <c r="BD51" s="3" t="s">
        <v>628</v>
      </c>
    </row>
    <row r="52" spans="1:56" ht="44.25" customHeight="1" x14ac:dyDescent="0.25">
      <c r="A52" s="7" t="s">
        <v>61</v>
      </c>
      <c r="B52" s="2" t="s">
        <v>629</v>
      </c>
      <c r="C52" s="2" t="s">
        <v>630</v>
      </c>
      <c r="D52" s="2" t="s">
        <v>631</v>
      </c>
      <c r="F52" s="3" t="s">
        <v>61</v>
      </c>
      <c r="G52" s="3" t="s">
        <v>60</v>
      </c>
      <c r="H52" s="3" t="s">
        <v>61</v>
      </c>
      <c r="I52" s="3" t="s">
        <v>61</v>
      </c>
      <c r="J52" s="3" t="s">
        <v>62</v>
      </c>
      <c r="K52" s="2" t="s">
        <v>632</v>
      </c>
      <c r="L52" s="2" t="s">
        <v>633</v>
      </c>
      <c r="M52" s="3" t="s">
        <v>536</v>
      </c>
      <c r="N52" s="2" t="s">
        <v>634</v>
      </c>
      <c r="O52" s="3" t="s">
        <v>114</v>
      </c>
      <c r="P52" s="3" t="s">
        <v>235</v>
      </c>
      <c r="R52" s="3" t="s">
        <v>68</v>
      </c>
      <c r="S52" s="4">
        <v>1</v>
      </c>
      <c r="T52" s="4">
        <v>1</v>
      </c>
      <c r="U52" s="5" t="s">
        <v>635</v>
      </c>
      <c r="V52" s="5" t="s">
        <v>635</v>
      </c>
      <c r="W52" s="5" t="s">
        <v>636</v>
      </c>
      <c r="X52" s="5" t="s">
        <v>636</v>
      </c>
      <c r="Y52" s="4">
        <v>979</v>
      </c>
      <c r="Z52" s="4">
        <v>831</v>
      </c>
      <c r="AA52" s="4">
        <v>866</v>
      </c>
      <c r="AB52" s="4">
        <v>7</v>
      </c>
      <c r="AC52" s="4">
        <v>7</v>
      </c>
      <c r="AD52" s="4">
        <v>38</v>
      </c>
      <c r="AE52" s="4">
        <v>38</v>
      </c>
      <c r="AF52" s="4">
        <v>17</v>
      </c>
      <c r="AG52" s="4">
        <v>17</v>
      </c>
      <c r="AH52" s="4">
        <v>9</v>
      </c>
      <c r="AI52" s="4">
        <v>9</v>
      </c>
      <c r="AJ52" s="4">
        <v>16</v>
      </c>
      <c r="AK52" s="4">
        <v>16</v>
      </c>
      <c r="AL52" s="4">
        <v>6</v>
      </c>
      <c r="AM52" s="4">
        <v>6</v>
      </c>
      <c r="AN52" s="4">
        <v>0</v>
      </c>
      <c r="AO52" s="4">
        <v>0</v>
      </c>
      <c r="AP52" s="3" t="s">
        <v>61</v>
      </c>
      <c r="AQ52" s="3" t="s">
        <v>59</v>
      </c>
      <c r="AR52" s="6" t="str">
        <f>HYPERLINK("http://catalog.hathitrust.org/Record/004539708","HathiTrust Record")</f>
        <v>HathiTrust Record</v>
      </c>
      <c r="AS52" s="6" t="str">
        <f>HYPERLINK("https://creighton-primo.hosted.exlibrisgroup.com/primo-explore/search?tab=default_tab&amp;search_scope=EVERYTHING&amp;vid=01CRU&amp;lang=en_US&amp;offset=0&amp;query=any,contains,991002701089702656","Catalog Record")</f>
        <v>Catalog Record</v>
      </c>
      <c r="AT52" s="6" t="str">
        <f>HYPERLINK("http://www.worldcat.org/oclc/35262462","WorldCat Record")</f>
        <v>WorldCat Record</v>
      </c>
      <c r="AU52" s="3" t="s">
        <v>637</v>
      </c>
      <c r="AV52" s="3" t="s">
        <v>638</v>
      </c>
      <c r="AW52" s="3" t="s">
        <v>639</v>
      </c>
      <c r="AX52" s="3" t="s">
        <v>639</v>
      </c>
      <c r="AY52" s="3" t="s">
        <v>640</v>
      </c>
      <c r="AZ52" s="3" t="s">
        <v>75</v>
      </c>
      <c r="BB52" s="3" t="s">
        <v>641</v>
      </c>
      <c r="BC52" s="3" t="s">
        <v>642</v>
      </c>
      <c r="BD52" s="3" t="s">
        <v>643</v>
      </c>
    </row>
    <row r="53" spans="1:56" ht="44.25" customHeight="1" x14ac:dyDescent="0.25">
      <c r="A53" s="7" t="s">
        <v>61</v>
      </c>
      <c r="B53" s="2" t="s">
        <v>644</v>
      </c>
      <c r="C53" s="2" t="s">
        <v>645</v>
      </c>
      <c r="D53" s="2" t="s">
        <v>646</v>
      </c>
      <c r="F53" s="3" t="s">
        <v>61</v>
      </c>
      <c r="G53" s="3" t="s">
        <v>60</v>
      </c>
      <c r="H53" s="3" t="s">
        <v>61</v>
      </c>
      <c r="I53" s="3" t="s">
        <v>61</v>
      </c>
      <c r="J53" s="3" t="s">
        <v>62</v>
      </c>
      <c r="K53" s="2" t="s">
        <v>647</v>
      </c>
      <c r="L53" s="2" t="s">
        <v>648</v>
      </c>
      <c r="M53" s="3" t="s">
        <v>536</v>
      </c>
      <c r="O53" s="3" t="s">
        <v>114</v>
      </c>
      <c r="P53" s="3" t="s">
        <v>649</v>
      </c>
      <c r="Q53" s="2" t="s">
        <v>650</v>
      </c>
      <c r="R53" s="3" t="s">
        <v>68</v>
      </c>
      <c r="S53" s="4">
        <v>2</v>
      </c>
      <c r="T53" s="4">
        <v>2</v>
      </c>
      <c r="U53" s="5" t="s">
        <v>651</v>
      </c>
      <c r="V53" s="5" t="s">
        <v>651</v>
      </c>
      <c r="W53" s="5" t="s">
        <v>652</v>
      </c>
      <c r="X53" s="5" t="s">
        <v>652</v>
      </c>
      <c r="Y53" s="4">
        <v>345</v>
      </c>
      <c r="Z53" s="4">
        <v>261</v>
      </c>
      <c r="AA53" s="4">
        <v>263</v>
      </c>
      <c r="AB53" s="4">
        <v>2</v>
      </c>
      <c r="AC53" s="4">
        <v>2</v>
      </c>
      <c r="AD53" s="4">
        <v>12</v>
      </c>
      <c r="AE53" s="4">
        <v>12</v>
      </c>
      <c r="AF53" s="4">
        <v>2</v>
      </c>
      <c r="AG53" s="4">
        <v>2</v>
      </c>
      <c r="AH53" s="4">
        <v>4</v>
      </c>
      <c r="AI53" s="4">
        <v>4</v>
      </c>
      <c r="AJ53" s="4">
        <v>8</v>
      </c>
      <c r="AK53" s="4">
        <v>8</v>
      </c>
      <c r="AL53" s="4">
        <v>1</v>
      </c>
      <c r="AM53" s="4">
        <v>1</v>
      </c>
      <c r="AN53" s="4">
        <v>0</v>
      </c>
      <c r="AO53" s="4">
        <v>0</v>
      </c>
      <c r="AP53" s="3" t="s">
        <v>61</v>
      </c>
      <c r="AQ53" s="3" t="s">
        <v>59</v>
      </c>
      <c r="AR53" s="6" t="str">
        <f>HYPERLINK("http://catalog.hathitrust.org/Record/003154276","HathiTrust Record")</f>
        <v>HathiTrust Record</v>
      </c>
      <c r="AS53" s="6" t="str">
        <f>HYPERLINK("https://creighton-primo.hosted.exlibrisgroup.com/primo-explore/search?tab=default_tab&amp;search_scope=EVERYTHING&amp;vid=01CRU&amp;lang=en_US&amp;offset=0&amp;query=any,contains,991002755149702656","Catalog Record")</f>
        <v>Catalog Record</v>
      </c>
      <c r="AT53" s="6" t="str">
        <f>HYPERLINK("http://www.worldcat.org/oclc/36135907","WorldCat Record")</f>
        <v>WorldCat Record</v>
      </c>
      <c r="AU53" s="3" t="s">
        <v>653</v>
      </c>
      <c r="AV53" s="3" t="s">
        <v>654</v>
      </c>
      <c r="AW53" s="3" t="s">
        <v>655</v>
      </c>
      <c r="AX53" s="3" t="s">
        <v>655</v>
      </c>
      <c r="AY53" s="3" t="s">
        <v>656</v>
      </c>
      <c r="AZ53" s="3" t="s">
        <v>75</v>
      </c>
      <c r="BB53" s="3" t="s">
        <v>657</v>
      </c>
      <c r="BC53" s="3" t="s">
        <v>658</v>
      </c>
      <c r="BD53" s="3" t="s">
        <v>659</v>
      </c>
    </row>
    <row r="54" spans="1:56" ht="44.25" customHeight="1" x14ac:dyDescent="0.25">
      <c r="A54" s="7" t="s">
        <v>61</v>
      </c>
      <c r="B54" s="2" t="s">
        <v>660</v>
      </c>
      <c r="C54" s="2" t="s">
        <v>661</v>
      </c>
      <c r="D54" s="2" t="s">
        <v>662</v>
      </c>
      <c r="F54" s="3" t="s">
        <v>61</v>
      </c>
      <c r="G54" s="3" t="s">
        <v>60</v>
      </c>
      <c r="H54" s="3" t="s">
        <v>61</v>
      </c>
      <c r="I54" s="3" t="s">
        <v>61</v>
      </c>
      <c r="J54" s="3" t="s">
        <v>62</v>
      </c>
      <c r="K54" s="2" t="s">
        <v>663</v>
      </c>
      <c r="L54" s="2" t="s">
        <v>664</v>
      </c>
      <c r="M54" s="3" t="s">
        <v>205</v>
      </c>
      <c r="O54" s="3" t="s">
        <v>114</v>
      </c>
      <c r="P54" s="3" t="s">
        <v>192</v>
      </c>
      <c r="Q54" s="2" t="s">
        <v>665</v>
      </c>
      <c r="R54" s="3" t="s">
        <v>68</v>
      </c>
      <c r="S54" s="4">
        <v>1</v>
      </c>
      <c r="T54" s="4">
        <v>1</v>
      </c>
      <c r="U54" s="5" t="s">
        <v>666</v>
      </c>
      <c r="V54" s="5" t="s">
        <v>666</v>
      </c>
      <c r="W54" s="5" t="s">
        <v>265</v>
      </c>
      <c r="X54" s="5" t="s">
        <v>265</v>
      </c>
      <c r="Y54" s="4">
        <v>386</v>
      </c>
      <c r="Z54" s="4">
        <v>257</v>
      </c>
      <c r="AA54" s="4">
        <v>257</v>
      </c>
      <c r="AB54" s="4">
        <v>3</v>
      </c>
      <c r="AC54" s="4">
        <v>3</v>
      </c>
      <c r="AD54" s="4">
        <v>13</v>
      </c>
      <c r="AE54" s="4">
        <v>13</v>
      </c>
      <c r="AF54" s="4">
        <v>3</v>
      </c>
      <c r="AG54" s="4">
        <v>3</v>
      </c>
      <c r="AH54" s="4">
        <v>5</v>
      </c>
      <c r="AI54" s="4">
        <v>5</v>
      </c>
      <c r="AJ54" s="4">
        <v>8</v>
      </c>
      <c r="AK54" s="4">
        <v>8</v>
      </c>
      <c r="AL54" s="4">
        <v>2</v>
      </c>
      <c r="AM54" s="4">
        <v>2</v>
      </c>
      <c r="AN54" s="4">
        <v>0</v>
      </c>
      <c r="AO54" s="4">
        <v>0</v>
      </c>
      <c r="AP54" s="3" t="s">
        <v>61</v>
      </c>
      <c r="AQ54" s="3" t="s">
        <v>61</v>
      </c>
      <c r="AS54" s="6" t="str">
        <f>HYPERLINK("https://creighton-primo.hosted.exlibrisgroup.com/primo-explore/search?tab=default_tab&amp;search_scope=EVERYTHING&amp;vid=01CRU&amp;lang=en_US&amp;offset=0&amp;query=any,contains,991000414009702656","Catalog Record")</f>
        <v>Catalog Record</v>
      </c>
      <c r="AT54" s="6" t="str">
        <f>HYPERLINK("http://www.worldcat.org/oclc/10723401","WorldCat Record")</f>
        <v>WorldCat Record</v>
      </c>
      <c r="AU54" s="3" t="s">
        <v>667</v>
      </c>
      <c r="AV54" s="3" t="s">
        <v>668</v>
      </c>
      <c r="AW54" s="3" t="s">
        <v>669</v>
      </c>
      <c r="AX54" s="3" t="s">
        <v>669</v>
      </c>
      <c r="AY54" s="3" t="s">
        <v>670</v>
      </c>
      <c r="AZ54" s="3" t="s">
        <v>75</v>
      </c>
      <c r="BB54" s="3" t="s">
        <v>671</v>
      </c>
      <c r="BC54" s="3" t="s">
        <v>672</v>
      </c>
      <c r="BD54" s="3" t="s">
        <v>673</v>
      </c>
    </row>
    <row r="55" spans="1:56" ht="44.25" customHeight="1" x14ac:dyDescent="0.25">
      <c r="A55" s="7" t="s">
        <v>61</v>
      </c>
      <c r="B55" s="2" t="s">
        <v>674</v>
      </c>
      <c r="C55" s="2" t="s">
        <v>675</v>
      </c>
      <c r="D55" s="2" t="s">
        <v>676</v>
      </c>
      <c r="F55" s="3" t="s">
        <v>61</v>
      </c>
      <c r="G55" s="3" t="s">
        <v>60</v>
      </c>
      <c r="H55" s="3" t="s">
        <v>61</v>
      </c>
      <c r="I55" s="3" t="s">
        <v>61</v>
      </c>
      <c r="J55" s="3" t="s">
        <v>62</v>
      </c>
      <c r="K55" s="2" t="s">
        <v>677</v>
      </c>
      <c r="L55" s="2" t="s">
        <v>678</v>
      </c>
      <c r="M55" s="3" t="s">
        <v>552</v>
      </c>
      <c r="N55" s="2" t="s">
        <v>679</v>
      </c>
      <c r="O55" s="3" t="s">
        <v>114</v>
      </c>
      <c r="P55" s="3" t="s">
        <v>235</v>
      </c>
      <c r="R55" s="3" t="s">
        <v>68</v>
      </c>
      <c r="S55" s="4">
        <v>4</v>
      </c>
      <c r="T55" s="4">
        <v>4</v>
      </c>
      <c r="U55" s="5" t="s">
        <v>680</v>
      </c>
      <c r="V55" s="5" t="s">
        <v>680</v>
      </c>
      <c r="W55" s="5" t="s">
        <v>162</v>
      </c>
      <c r="X55" s="5" t="s">
        <v>162</v>
      </c>
      <c r="Y55" s="4">
        <v>2083</v>
      </c>
      <c r="Z55" s="4">
        <v>2004</v>
      </c>
      <c r="AA55" s="4">
        <v>2329</v>
      </c>
      <c r="AB55" s="4">
        <v>14</v>
      </c>
      <c r="AC55" s="4">
        <v>18</v>
      </c>
      <c r="AD55" s="4">
        <v>41</v>
      </c>
      <c r="AE55" s="4">
        <v>45</v>
      </c>
      <c r="AF55" s="4">
        <v>18</v>
      </c>
      <c r="AG55" s="4">
        <v>18</v>
      </c>
      <c r="AH55" s="4">
        <v>7</v>
      </c>
      <c r="AI55" s="4">
        <v>8</v>
      </c>
      <c r="AJ55" s="4">
        <v>19</v>
      </c>
      <c r="AK55" s="4">
        <v>21</v>
      </c>
      <c r="AL55" s="4">
        <v>6</v>
      </c>
      <c r="AM55" s="4">
        <v>8</v>
      </c>
      <c r="AN55" s="4">
        <v>0</v>
      </c>
      <c r="AO55" s="4">
        <v>0</v>
      </c>
      <c r="AP55" s="3" t="s">
        <v>61</v>
      </c>
      <c r="AQ55" s="3" t="s">
        <v>59</v>
      </c>
      <c r="AR55" s="6" t="str">
        <f>HYPERLINK("http://catalog.hathitrust.org/Record/004937708","HathiTrust Record")</f>
        <v>HathiTrust Record</v>
      </c>
      <c r="AS55" s="6" t="str">
        <f>HYPERLINK("https://creighton-primo.hosted.exlibrisgroup.com/primo-explore/search?tab=default_tab&amp;search_scope=EVERYTHING&amp;vid=01CRU&amp;lang=en_US&amp;offset=0&amp;query=any,contains,991001384109702656","Catalog Record")</f>
        <v>Catalog Record</v>
      </c>
      <c r="AT55" s="6" t="str">
        <f>HYPERLINK("http://www.worldcat.org/oclc/18714941","WorldCat Record")</f>
        <v>WorldCat Record</v>
      </c>
      <c r="AU55" s="3" t="s">
        <v>681</v>
      </c>
      <c r="AV55" s="3" t="s">
        <v>682</v>
      </c>
      <c r="AW55" s="3" t="s">
        <v>683</v>
      </c>
      <c r="AX55" s="3" t="s">
        <v>683</v>
      </c>
      <c r="AY55" s="3" t="s">
        <v>684</v>
      </c>
      <c r="AZ55" s="3" t="s">
        <v>75</v>
      </c>
      <c r="BB55" s="3" t="s">
        <v>685</v>
      </c>
      <c r="BC55" s="3" t="s">
        <v>686</v>
      </c>
      <c r="BD55" s="3" t="s">
        <v>687</v>
      </c>
    </row>
    <row r="56" spans="1:56" ht="44.25" customHeight="1" x14ac:dyDescent="0.25">
      <c r="A56" s="7" t="s">
        <v>61</v>
      </c>
      <c r="B56" s="2" t="s">
        <v>688</v>
      </c>
      <c r="C56" s="2" t="s">
        <v>689</v>
      </c>
      <c r="D56" s="2" t="s">
        <v>690</v>
      </c>
      <c r="F56" s="3" t="s">
        <v>61</v>
      </c>
      <c r="G56" s="3" t="s">
        <v>60</v>
      </c>
      <c r="H56" s="3" t="s">
        <v>61</v>
      </c>
      <c r="I56" s="3" t="s">
        <v>61</v>
      </c>
      <c r="J56" s="3" t="s">
        <v>62</v>
      </c>
      <c r="K56" s="2" t="s">
        <v>691</v>
      </c>
      <c r="L56" s="2" t="s">
        <v>692</v>
      </c>
      <c r="M56" s="3" t="s">
        <v>334</v>
      </c>
      <c r="O56" s="3" t="s">
        <v>114</v>
      </c>
      <c r="P56" s="3" t="s">
        <v>364</v>
      </c>
      <c r="R56" s="3" t="s">
        <v>68</v>
      </c>
      <c r="S56" s="4">
        <v>2</v>
      </c>
      <c r="T56" s="4">
        <v>2</v>
      </c>
      <c r="U56" s="5" t="s">
        <v>693</v>
      </c>
      <c r="V56" s="5" t="s">
        <v>693</v>
      </c>
      <c r="W56" s="5" t="s">
        <v>694</v>
      </c>
      <c r="X56" s="5" t="s">
        <v>694</v>
      </c>
      <c r="Y56" s="4">
        <v>501</v>
      </c>
      <c r="Z56" s="4">
        <v>394</v>
      </c>
      <c r="AA56" s="4">
        <v>396</v>
      </c>
      <c r="AB56" s="4">
        <v>3</v>
      </c>
      <c r="AC56" s="4">
        <v>3</v>
      </c>
      <c r="AD56" s="4">
        <v>20</v>
      </c>
      <c r="AE56" s="4">
        <v>20</v>
      </c>
      <c r="AF56" s="4">
        <v>5</v>
      </c>
      <c r="AG56" s="4">
        <v>5</v>
      </c>
      <c r="AH56" s="4">
        <v>5</v>
      </c>
      <c r="AI56" s="4">
        <v>5</v>
      </c>
      <c r="AJ56" s="4">
        <v>14</v>
      </c>
      <c r="AK56" s="4">
        <v>14</v>
      </c>
      <c r="AL56" s="4">
        <v>2</v>
      </c>
      <c r="AM56" s="4">
        <v>2</v>
      </c>
      <c r="AN56" s="4">
        <v>0</v>
      </c>
      <c r="AO56" s="4">
        <v>0</v>
      </c>
      <c r="AP56" s="3" t="s">
        <v>61</v>
      </c>
      <c r="AQ56" s="3" t="s">
        <v>61</v>
      </c>
      <c r="AS56" s="6" t="str">
        <f>HYPERLINK("https://creighton-primo.hosted.exlibrisgroup.com/primo-explore/search?tab=default_tab&amp;search_scope=EVERYTHING&amp;vid=01CRU&amp;lang=en_US&amp;offset=0&amp;query=any,contains,991001156379702656","Catalog Record")</f>
        <v>Catalog Record</v>
      </c>
      <c r="AT56" s="6" t="str">
        <f>HYPERLINK("http://www.worldcat.org/oclc/16859976","WorldCat Record")</f>
        <v>WorldCat Record</v>
      </c>
      <c r="AU56" s="3" t="s">
        <v>695</v>
      </c>
      <c r="AV56" s="3" t="s">
        <v>696</v>
      </c>
      <c r="AW56" s="3" t="s">
        <v>697</v>
      </c>
      <c r="AX56" s="3" t="s">
        <v>697</v>
      </c>
      <c r="AY56" s="3" t="s">
        <v>698</v>
      </c>
      <c r="AZ56" s="3" t="s">
        <v>75</v>
      </c>
      <c r="BB56" s="3" t="s">
        <v>699</v>
      </c>
      <c r="BC56" s="3" t="s">
        <v>700</v>
      </c>
      <c r="BD56" s="3" t="s">
        <v>701</v>
      </c>
    </row>
    <row r="57" spans="1:56" ht="44.25" customHeight="1" x14ac:dyDescent="0.25">
      <c r="A57" s="7" t="s">
        <v>61</v>
      </c>
      <c r="B57" s="2" t="s">
        <v>702</v>
      </c>
      <c r="C57" s="2" t="s">
        <v>703</v>
      </c>
      <c r="D57" s="2" t="s">
        <v>704</v>
      </c>
      <c r="E57" s="3" t="s">
        <v>84</v>
      </c>
      <c r="F57" s="3" t="s">
        <v>59</v>
      </c>
      <c r="G57" s="3" t="s">
        <v>60</v>
      </c>
      <c r="H57" s="3" t="s">
        <v>61</v>
      </c>
      <c r="I57" s="3" t="s">
        <v>61</v>
      </c>
      <c r="J57" s="3" t="s">
        <v>62</v>
      </c>
      <c r="K57" s="2" t="s">
        <v>705</v>
      </c>
      <c r="L57" s="2" t="s">
        <v>706</v>
      </c>
      <c r="M57" s="3" t="s">
        <v>707</v>
      </c>
      <c r="O57" s="3" t="s">
        <v>114</v>
      </c>
      <c r="P57" s="3" t="s">
        <v>235</v>
      </c>
      <c r="R57" s="3" t="s">
        <v>68</v>
      </c>
      <c r="S57" s="4">
        <v>1</v>
      </c>
      <c r="T57" s="4">
        <v>6</v>
      </c>
      <c r="U57" s="5" t="s">
        <v>708</v>
      </c>
      <c r="V57" s="5" t="s">
        <v>708</v>
      </c>
      <c r="W57" s="5" t="s">
        <v>709</v>
      </c>
      <c r="X57" s="5" t="s">
        <v>709</v>
      </c>
      <c r="Y57" s="4">
        <v>206</v>
      </c>
      <c r="Z57" s="4">
        <v>179</v>
      </c>
      <c r="AA57" s="4">
        <v>2096</v>
      </c>
      <c r="AB57" s="4">
        <v>2</v>
      </c>
      <c r="AC57" s="4">
        <v>24</v>
      </c>
      <c r="AD57" s="4">
        <v>13</v>
      </c>
      <c r="AE57" s="4">
        <v>67</v>
      </c>
      <c r="AF57" s="4">
        <v>6</v>
      </c>
      <c r="AG57" s="4">
        <v>27</v>
      </c>
      <c r="AH57" s="4">
        <v>3</v>
      </c>
      <c r="AI57" s="4">
        <v>11</v>
      </c>
      <c r="AJ57" s="4">
        <v>7</v>
      </c>
      <c r="AK57" s="4">
        <v>24</v>
      </c>
      <c r="AL57" s="4">
        <v>1</v>
      </c>
      <c r="AM57" s="4">
        <v>17</v>
      </c>
      <c r="AN57" s="4">
        <v>0</v>
      </c>
      <c r="AO57" s="4">
        <v>1</v>
      </c>
      <c r="AP57" s="3" t="s">
        <v>61</v>
      </c>
      <c r="AQ57" s="3" t="s">
        <v>59</v>
      </c>
      <c r="AR57" s="6" t="str">
        <f>HYPERLINK("http://catalog.hathitrust.org/Record/012141952","HathiTrust Record")</f>
        <v>HathiTrust Record</v>
      </c>
      <c r="AS57" s="6" t="str">
        <f>HYPERLINK("https://creighton-primo.hosted.exlibrisgroup.com/primo-explore/search?tab=default_tab&amp;search_scope=EVERYTHING&amp;vid=01CRU&amp;lang=en_US&amp;offset=0&amp;query=any,contains,991002614369702656","Catalog Record")</f>
        <v>Catalog Record</v>
      </c>
      <c r="AT57" s="6" t="str">
        <f>HYPERLINK("http://www.worldcat.org/oclc/378970","WorldCat Record")</f>
        <v>WorldCat Record</v>
      </c>
      <c r="AU57" s="3" t="s">
        <v>710</v>
      </c>
      <c r="AV57" s="3" t="s">
        <v>711</v>
      </c>
      <c r="AW57" s="3" t="s">
        <v>712</v>
      </c>
      <c r="AX57" s="3" t="s">
        <v>712</v>
      </c>
      <c r="AY57" s="3" t="s">
        <v>713</v>
      </c>
      <c r="AZ57" s="3" t="s">
        <v>75</v>
      </c>
      <c r="BC57" s="3" t="s">
        <v>714</v>
      </c>
      <c r="BD57" s="3" t="s">
        <v>715</v>
      </c>
    </row>
    <row r="58" spans="1:56" ht="44.25" customHeight="1" x14ac:dyDescent="0.25">
      <c r="A58" s="7" t="s">
        <v>61</v>
      </c>
      <c r="B58" s="2" t="s">
        <v>702</v>
      </c>
      <c r="C58" s="2" t="s">
        <v>703</v>
      </c>
      <c r="D58" s="2" t="s">
        <v>704</v>
      </c>
      <c r="E58" s="3" t="s">
        <v>87</v>
      </c>
      <c r="F58" s="3" t="s">
        <v>59</v>
      </c>
      <c r="G58" s="3" t="s">
        <v>60</v>
      </c>
      <c r="H58" s="3" t="s">
        <v>61</v>
      </c>
      <c r="I58" s="3" t="s">
        <v>61</v>
      </c>
      <c r="J58" s="3" t="s">
        <v>62</v>
      </c>
      <c r="K58" s="2" t="s">
        <v>705</v>
      </c>
      <c r="L58" s="2" t="s">
        <v>706</v>
      </c>
      <c r="M58" s="3" t="s">
        <v>707</v>
      </c>
      <c r="O58" s="3" t="s">
        <v>114</v>
      </c>
      <c r="P58" s="3" t="s">
        <v>235</v>
      </c>
      <c r="R58" s="3" t="s">
        <v>68</v>
      </c>
      <c r="S58" s="4">
        <v>1</v>
      </c>
      <c r="T58" s="4">
        <v>6</v>
      </c>
      <c r="U58" s="5" t="s">
        <v>708</v>
      </c>
      <c r="V58" s="5" t="s">
        <v>708</v>
      </c>
      <c r="W58" s="5" t="s">
        <v>709</v>
      </c>
      <c r="X58" s="5" t="s">
        <v>709</v>
      </c>
      <c r="Y58" s="4">
        <v>206</v>
      </c>
      <c r="Z58" s="4">
        <v>179</v>
      </c>
      <c r="AA58" s="4">
        <v>2096</v>
      </c>
      <c r="AB58" s="4">
        <v>2</v>
      </c>
      <c r="AC58" s="4">
        <v>24</v>
      </c>
      <c r="AD58" s="4">
        <v>13</v>
      </c>
      <c r="AE58" s="4">
        <v>67</v>
      </c>
      <c r="AF58" s="4">
        <v>6</v>
      </c>
      <c r="AG58" s="4">
        <v>27</v>
      </c>
      <c r="AH58" s="4">
        <v>3</v>
      </c>
      <c r="AI58" s="4">
        <v>11</v>
      </c>
      <c r="AJ58" s="4">
        <v>7</v>
      </c>
      <c r="AK58" s="4">
        <v>24</v>
      </c>
      <c r="AL58" s="4">
        <v>1</v>
      </c>
      <c r="AM58" s="4">
        <v>17</v>
      </c>
      <c r="AN58" s="4">
        <v>0</v>
      </c>
      <c r="AO58" s="4">
        <v>1</v>
      </c>
      <c r="AP58" s="3" t="s">
        <v>61</v>
      </c>
      <c r="AQ58" s="3" t="s">
        <v>59</v>
      </c>
      <c r="AR58" s="6" t="str">
        <f>HYPERLINK("http://catalog.hathitrust.org/Record/012141952","HathiTrust Record")</f>
        <v>HathiTrust Record</v>
      </c>
      <c r="AS58" s="6" t="str">
        <f>HYPERLINK("https://creighton-primo.hosted.exlibrisgroup.com/primo-explore/search?tab=default_tab&amp;search_scope=EVERYTHING&amp;vid=01CRU&amp;lang=en_US&amp;offset=0&amp;query=any,contains,991002614369702656","Catalog Record")</f>
        <v>Catalog Record</v>
      </c>
      <c r="AT58" s="6" t="str">
        <f>HYPERLINK("http://www.worldcat.org/oclc/378970","WorldCat Record")</f>
        <v>WorldCat Record</v>
      </c>
      <c r="AU58" s="3" t="s">
        <v>710</v>
      </c>
      <c r="AV58" s="3" t="s">
        <v>711</v>
      </c>
      <c r="AW58" s="3" t="s">
        <v>712</v>
      </c>
      <c r="AX58" s="3" t="s">
        <v>712</v>
      </c>
      <c r="AY58" s="3" t="s">
        <v>713</v>
      </c>
      <c r="AZ58" s="3" t="s">
        <v>75</v>
      </c>
      <c r="BC58" s="3" t="s">
        <v>716</v>
      </c>
      <c r="BD58" s="3" t="s">
        <v>717</v>
      </c>
    </row>
    <row r="59" spans="1:56" ht="44.25" customHeight="1" x14ac:dyDescent="0.25">
      <c r="A59" s="7" t="s">
        <v>61</v>
      </c>
      <c r="B59" s="2" t="s">
        <v>702</v>
      </c>
      <c r="C59" s="2" t="s">
        <v>703</v>
      </c>
      <c r="D59" s="2" t="s">
        <v>704</v>
      </c>
      <c r="E59" s="3" t="s">
        <v>81</v>
      </c>
      <c r="F59" s="3" t="s">
        <v>59</v>
      </c>
      <c r="G59" s="3" t="s">
        <v>60</v>
      </c>
      <c r="H59" s="3" t="s">
        <v>61</v>
      </c>
      <c r="I59" s="3" t="s">
        <v>61</v>
      </c>
      <c r="J59" s="3" t="s">
        <v>62</v>
      </c>
      <c r="K59" s="2" t="s">
        <v>705</v>
      </c>
      <c r="L59" s="2" t="s">
        <v>706</v>
      </c>
      <c r="M59" s="3" t="s">
        <v>707</v>
      </c>
      <c r="O59" s="3" t="s">
        <v>114</v>
      </c>
      <c r="P59" s="3" t="s">
        <v>235</v>
      </c>
      <c r="R59" s="3" t="s">
        <v>68</v>
      </c>
      <c r="S59" s="4">
        <v>1</v>
      </c>
      <c r="T59" s="4">
        <v>6</v>
      </c>
      <c r="U59" s="5" t="s">
        <v>708</v>
      </c>
      <c r="V59" s="5" t="s">
        <v>708</v>
      </c>
      <c r="W59" s="5" t="s">
        <v>709</v>
      </c>
      <c r="X59" s="5" t="s">
        <v>709</v>
      </c>
      <c r="Y59" s="4">
        <v>206</v>
      </c>
      <c r="Z59" s="4">
        <v>179</v>
      </c>
      <c r="AA59" s="4">
        <v>2096</v>
      </c>
      <c r="AB59" s="4">
        <v>2</v>
      </c>
      <c r="AC59" s="4">
        <v>24</v>
      </c>
      <c r="AD59" s="4">
        <v>13</v>
      </c>
      <c r="AE59" s="4">
        <v>67</v>
      </c>
      <c r="AF59" s="4">
        <v>6</v>
      </c>
      <c r="AG59" s="4">
        <v>27</v>
      </c>
      <c r="AH59" s="4">
        <v>3</v>
      </c>
      <c r="AI59" s="4">
        <v>11</v>
      </c>
      <c r="AJ59" s="4">
        <v>7</v>
      </c>
      <c r="AK59" s="4">
        <v>24</v>
      </c>
      <c r="AL59" s="4">
        <v>1</v>
      </c>
      <c r="AM59" s="4">
        <v>17</v>
      </c>
      <c r="AN59" s="4">
        <v>0</v>
      </c>
      <c r="AO59" s="4">
        <v>1</v>
      </c>
      <c r="AP59" s="3" t="s">
        <v>61</v>
      </c>
      <c r="AQ59" s="3" t="s">
        <v>59</v>
      </c>
      <c r="AR59" s="6" t="str">
        <f>HYPERLINK("http://catalog.hathitrust.org/Record/012141952","HathiTrust Record")</f>
        <v>HathiTrust Record</v>
      </c>
      <c r="AS59" s="6" t="str">
        <f>HYPERLINK("https://creighton-primo.hosted.exlibrisgroup.com/primo-explore/search?tab=default_tab&amp;search_scope=EVERYTHING&amp;vid=01CRU&amp;lang=en_US&amp;offset=0&amp;query=any,contains,991002614369702656","Catalog Record")</f>
        <v>Catalog Record</v>
      </c>
      <c r="AT59" s="6" t="str">
        <f>HYPERLINK("http://www.worldcat.org/oclc/378970","WorldCat Record")</f>
        <v>WorldCat Record</v>
      </c>
      <c r="AU59" s="3" t="s">
        <v>710</v>
      </c>
      <c r="AV59" s="3" t="s">
        <v>711</v>
      </c>
      <c r="AW59" s="3" t="s">
        <v>712</v>
      </c>
      <c r="AX59" s="3" t="s">
        <v>712</v>
      </c>
      <c r="AY59" s="3" t="s">
        <v>713</v>
      </c>
      <c r="AZ59" s="3" t="s">
        <v>75</v>
      </c>
      <c r="BC59" s="3" t="s">
        <v>718</v>
      </c>
      <c r="BD59" s="3" t="s">
        <v>719</v>
      </c>
    </row>
    <row r="60" spans="1:56" ht="44.25" customHeight="1" x14ac:dyDescent="0.25">
      <c r="A60" s="7" t="s">
        <v>61</v>
      </c>
      <c r="B60" s="2" t="s">
        <v>702</v>
      </c>
      <c r="C60" s="2" t="s">
        <v>703</v>
      </c>
      <c r="D60" s="2" t="s">
        <v>704</v>
      </c>
      <c r="E60" s="3" t="s">
        <v>141</v>
      </c>
      <c r="F60" s="3" t="s">
        <v>59</v>
      </c>
      <c r="G60" s="3" t="s">
        <v>60</v>
      </c>
      <c r="H60" s="3" t="s">
        <v>61</v>
      </c>
      <c r="I60" s="3" t="s">
        <v>61</v>
      </c>
      <c r="J60" s="3" t="s">
        <v>62</v>
      </c>
      <c r="K60" s="2" t="s">
        <v>705</v>
      </c>
      <c r="L60" s="2" t="s">
        <v>706</v>
      </c>
      <c r="M60" s="3" t="s">
        <v>707</v>
      </c>
      <c r="O60" s="3" t="s">
        <v>114</v>
      </c>
      <c r="P60" s="3" t="s">
        <v>235</v>
      </c>
      <c r="R60" s="3" t="s">
        <v>68</v>
      </c>
      <c r="S60" s="4">
        <v>1</v>
      </c>
      <c r="T60" s="4">
        <v>6</v>
      </c>
      <c r="U60" s="5" t="s">
        <v>708</v>
      </c>
      <c r="V60" s="5" t="s">
        <v>708</v>
      </c>
      <c r="W60" s="5" t="s">
        <v>709</v>
      </c>
      <c r="X60" s="5" t="s">
        <v>709</v>
      </c>
      <c r="Y60" s="4">
        <v>206</v>
      </c>
      <c r="Z60" s="4">
        <v>179</v>
      </c>
      <c r="AA60" s="4">
        <v>2096</v>
      </c>
      <c r="AB60" s="4">
        <v>2</v>
      </c>
      <c r="AC60" s="4">
        <v>24</v>
      </c>
      <c r="AD60" s="4">
        <v>13</v>
      </c>
      <c r="AE60" s="4">
        <v>67</v>
      </c>
      <c r="AF60" s="4">
        <v>6</v>
      </c>
      <c r="AG60" s="4">
        <v>27</v>
      </c>
      <c r="AH60" s="4">
        <v>3</v>
      </c>
      <c r="AI60" s="4">
        <v>11</v>
      </c>
      <c r="AJ60" s="4">
        <v>7</v>
      </c>
      <c r="AK60" s="4">
        <v>24</v>
      </c>
      <c r="AL60" s="4">
        <v>1</v>
      </c>
      <c r="AM60" s="4">
        <v>17</v>
      </c>
      <c r="AN60" s="4">
        <v>0</v>
      </c>
      <c r="AO60" s="4">
        <v>1</v>
      </c>
      <c r="AP60" s="3" t="s">
        <v>61</v>
      </c>
      <c r="AQ60" s="3" t="s">
        <v>59</v>
      </c>
      <c r="AR60" s="6" t="str">
        <f>HYPERLINK("http://catalog.hathitrust.org/Record/012141952","HathiTrust Record")</f>
        <v>HathiTrust Record</v>
      </c>
      <c r="AS60" s="6" t="str">
        <f>HYPERLINK("https://creighton-primo.hosted.exlibrisgroup.com/primo-explore/search?tab=default_tab&amp;search_scope=EVERYTHING&amp;vid=01CRU&amp;lang=en_US&amp;offset=0&amp;query=any,contains,991002614369702656","Catalog Record")</f>
        <v>Catalog Record</v>
      </c>
      <c r="AT60" s="6" t="str">
        <f>HYPERLINK("http://www.worldcat.org/oclc/378970","WorldCat Record")</f>
        <v>WorldCat Record</v>
      </c>
      <c r="AU60" s="3" t="s">
        <v>710</v>
      </c>
      <c r="AV60" s="3" t="s">
        <v>711</v>
      </c>
      <c r="AW60" s="3" t="s">
        <v>712</v>
      </c>
      <c r="AX60" s="3" t="s">
        <v>712</v>
      </c>
      <c r="AY60" s="3" t="s">
        <v>713</v>
      </c>
      <c r="AZ60" s="3" t="s">
        <v>75</v>
      </c>
      <c r="BC60" s="3" t="s">
        <v>720</v>
      </c>
      <c r="BD60" s="3" t="s">
        <v>721</v>
      </c>
    </row>
    <row r="61" spans="1:56" ht="44.25" customHeight="1" x14ac:dyDescent="0.25">
      <c r="A61" s="7" t="s">
        <v>61</v>
      </c>
      <c r="B61" s="2" t="s">
        <v>702</v>
      </c>
      <c r="C61" s="2" t="s">
        <v>703</v>
      </c>
      <c r="D61" s="2" t="s">
        <v>704</v>
      </c>
      <c r="E61" s="3" t="s">
        <v>93</v>
      </c>
      <c r="F61" s="3" t="s">
        <v>59</v>
      </c>
      <c r="G61" s="3" t="s">
        <v>60</v>
      </c>
      <c r="H61" s="3" t="s">
        <v>61</v>
      </c>
      <c r="I61" s="3" t="s">
        <v>61</v>
      </c>
      <c r="J61" s="3" t="s">
        <v>62</v>
      </c>
      <c r="K61" s="2" t="s">
        <v>705</v>
      </c>
      <c r="L61" s="2" t="s">
        <v>706</v>
      </c>
      <c r="M61" s="3" t="s">
        <v>707</v>
      </c>
      <c r="O61" s="3" t="s">
        <v>114</v>
      </c>
      <c r="P61" s="3" t="s">
        <v>235</v>
      </c>
      <c r="R61" s="3" t="s">
        <v>68</v>
      </c>
      <c r="S61" s="4">
        <v>1</v>
      </c>
      <c r="T61" s="4">
        <v>6</v>
      </c>
      <c r="U61" s="5" t="s">
        <v>708</v>
      </c>
      <c r="V61" s="5" t="s">
        <v>708</v>
      </c>
      <c r="W61" s="5" t="s">
        <v>709</v>
      </c>
      <c r="X61" s="5" t="s">
        <v>709</v>
      </c>
      <c r="Y61" s="4">
        <v>206</v>
      </c>
      <c r="Z61" s="4">
        <v>179</v>
      </c>
      <c r="AA61" s="4">
        <v>2096</v>
      </c>
      <c r="AB61" s="4">
        <v>2</v>
      </c>
      <c r="AC61" s="4">
        <v>24</v>
      </c>
      <c r="AD61" s="4">
        <v>13</v>
      </c>
      <c r="AE61" s="4">
        <v>67</v>
      </c>
      <c r="AF61" s="4">
        <v>6</v>
      </c>
      <c r="AG61" s="4">
        <v>27</v>
      </c>
      <c r="AH61" s="4">
        <v>3</v>
      </c>
      <c r="AI61" s="4">
        <v>11</v>
      </c>
      <c r="AJ61" s="4">
        <v>7</v>
      </c>
      <c r="AK61" s="4">
        <v>24</v>
      </c>
      <c r="AL61" s="4">
        <v>1</v>
      </c>
      <c r="AM61" s="4">
        <v>17</v>
      </c>
      <c r="AN61" s="4">
        <v>0</v>
      </c>
      <c r="AO61" s="4">
        <v>1</v>
      </c>
      <c r="AP61" s="3" t="s">
        <v>61</v>
      </c>
      <c r="AQ61" s="3" t="s">
        <v>59</v>
      </c>
      <c r="AR61" s="6" t="str">
        <f>HYPERLINK("http://catalog.hathitrust.org/Record/012141952","HathiTrust Record")</f>
        <v>HathiTrust Record</v>
      </c>
      <c r="AS61" s="6" t="str">
        <f>HYPERLINK("https://creighton-primo.hosted.exlibrisgroup.com/primo-explore/search?tab=default_tab&amp;search_scope=EVERYTHING&amp;vid=01CRU&amp;lang=en_US&amp;offset=0&amp;query=any,contains,991002614369702656","Catalog Record")</f>
        <v>Catalog Record</v>
      </c>
      <c r="AT61" s="6" t="str">
        <f>HYPERLINK("http://www.worldcat.org/oclc/378970","WorldCat Record")</f>
        <v>WorldCat Record</v>
      </c>
      <c r="AU61" s="3" t="s">
        <v>710</v>
      </c>
      <c r="AV61" s="3" t="s">
        <v>711</v>
      </c>
      <c r="AW61" s="3" t="s">
        <v>712</v>
      </c>
      <c r="AX61" s="3" t="s">
        <v>712</v>
      </c>
      <c r="AY61" s="3" t="s">
        <v>713</v>
      </c>
      <c r="AZ61" s="3" t="s">
        <v>75</v>
      </c>
      <c r="BC61" s="3" t="s">
        <v>722</v>
      </c>
      <c r="BD61" s="3" t="s">
        <v>723</v>
      </c>
    </row>
    <row r="62" spans="1:56" ht="44.25" customHeight="1" x14ac:dyDescent="0.25">
      <c r="A62" s="7" t="s">
        <v>61</v>
      </c>
      <c r="B62" s="2" t="s">
        <v>724</v>
      </c>
      <c r="C62" s="2" t="s">
        <v>725</v>
      </c>
      <c r="D62" s="2" t="s">
        <v>726</v>
      </c>
      <c r="F62" s="3" t="s">
        <v>61</v>
      </c>
      <c r="G62" s="3" t="s">
        <v>60</v>
      </c>
      <c r="H62" s="3" t="s">
        <v>61</v>
      </c>
      <c r="I62" s="3" t="s">
        <v>61</v>
      </c>
      <c r="J62" s="3" t="s">
        <v>62</v>
      </c>
      <c r="K62" s="2" t="s">
        <v>705</v>
      </c>
      <c r="L62" s="2" t="s">
        <v>727</v>
      </c>
      <c r="M62" s="3" t="s">
        <v>728</v>
      </c>
      <c r="O62" s="3" t="s">
        <v>114</v>
      </c>
      <c r="P62" s="3" t="s">
        <v>67</v>
      </c>
      <c r="R62" s="3" t="s">
        <v>68</v>
      </c>
      <c r="S62" s="4">
        <v>0</v>
      </c>
      <c r="T62" s="4">
        <v>0</v>
      </c>
      <c r="U62" s="5" t="s">
        <v>729</v>
      </c>
      <c r="V62" s="5" t="s">
        <v>729</v>
      </c>
      <c r="W62" s="5" t="s">
        <v>730</v>
      </c>
      <c r="X62" s="5" t="s">
        <v>730</v>
      </c>
      <c r="Y62" s="4">
        <v>131</v>
      </c>
      <c r="Z62" s="4">
        <v>127</v>
      </c>
      <c r="AA62" s="4">
        <v>259</v>
      </c>
      <c r="AB62" s="4">
        <v>1</v>
      </c>
      <c r="AC62" s="4">
        <v>2</v>
      </c>
      <c r="AD62" s="4">
        <v>4</v>
      </c>
      <c r="AE62" s="4">
        <v>15</v>
      </c>
      <c r="AF62" s="4">
        <v>1</v>
      </c>
      <c r="AG62" s="4">
        <v>5</v>
      </c>
      <c r="AH62" s="4">
        <v>1</v>
      </c>
      <c r="AI62" s="4">
        <v>4</v>
      </c>
      <c r="AJ62" s="4">
        <v>3</v>
      </c>
      <c r="AK62" s="4">
        <v>8</v>
      </c>
      <c r="AL62" s="4">
        <v>0</v>
      </c>
      <c r="AM62" s="4">
        <v>1</v>
      </c>
      <c r="AN62" s="4">
        <v>0</v>
      </c>
      <c r="AO62" s="4">
        <v>0</v>
      </c>
      <c r="AP62" s="3" t="s">
        <v>59</v>
      </c>
      <c r="AQ62" s="3" t="s">
        <v>61</v>
      </c>
      <c r="AR62" s="6" t="str">
        <f>HYPERLINK("http://catalog.hathitrust.org/Record/000591428","HathiTrust Record")</f>
        <v>HathiTrust Record</v>
      </c>
      <c r="AS62" s="6" t="str">
        <f>HYPERLINK("https://creighton-primo.hosted.exlibrisgroup.com/primo-explore/search?tab=default_tab&amp;search_scope=EVERYTHING&amp;vid=01CRU&amp;lang=en_US&amp;offset=0&amp;query=any,contains,991002142609702656","Catalog Record")</f>
        <v>Catalog Record</v>
      </c>
      <c r="AT62" s="6" t="str">
        <f>HYPERLINK("http://www.worldcat.org/oclc/270763","WorldCat Record")</f>
        <v>WorldCat Record</v>
      </c>
      <c r="AU62" s="3" t="s">
        <v>731</v>
      </c>
      <c r="AV62" s="3" t="s">
        <v>732</v>
      </c>
      <c r="AW62" s="3" t="s">
        <v>733</v>
      </c>
      <c r="AX62" s="3" t="s">
        <v>733</v>
      </c>
      <c r="AY62" s="3" t="s">
        <v>734</v>
      </c>
      <c r="AZ62" s="3" t="s">
        <v>75</v>
      </c>
      <c r="BC62" s="3" t="s">
        <v>735</v>
      </c>
      <c r="BD62" s="3" t="s">
        <v>736</v>
      </c>
    </row>
    <row r="63" spans="1:56" ht="44.25" customHeight="1" x14ac:dyDescent="0.25">
      <c r="A63" s="7" t="s">
        <v>61</v>
      </c>
      <c r="B63" s="2" t="s">
        <v>737</v>
      </c>
      <c r="C63" s="2" t="s">
        <v>738</v>
      </c>
      <c r="D63" s="2" t="s">
        <v>739</v>
      </c>
      <c r="F63" s="3" t="s">
        <v>61</v>
      </c>
      <c r="G63" s="3" t="s">
        <v>60</v>
      </c>
      <c r="H63" s="3" t="s">
        <v>61</v>
      </c>
      <c r="I63" s="3" t="s">
        <v>61</v>
      </c>
      <c r="J63" s="3" t="s">
        <v>62</v>
      </c>
      <c r="K63" s="2" t="s">
        <v>740</v>
      </c>
      <c r="L63" s="2" t="s">
        <v>741</v>
      </c>
      <c r="M63" s="3" t="s">
        <v>436</v>
      </c>
      <c r="O63" s="3" t="s">
        <v>114</v>
      </c>
      <c r="P63" s="3" t="s">
        <v>192</v>
      </c>
      <c r="R63" s="3" t="s">
        <v>68</v>
      </c>
      <c r="S63" s="4">
        <v>1</v>
      </c>
      <c r="T63" s="4">
        <v>1</v>
      </c>
      <c r="U63" s="5" t="s">
        <v>708</v>
      </c>
      <c r="V63" s="5" t="s">
        <v>708</v>
      </c>
      <c r="W63" s="5" t="s">
        <v>742</v>
      </c>
      <c r="X63" s="5" t="s">
        <v>742</v>
      </c>
      <c r="Y63" s="4">
        <v>298</v>
      </c>
      <c r="Z63" s="4">
        <v>197</v>
      </c>
      <c r="AA63" s="4">
        <v>198</v>
      </c>
      <c r="AB63" s="4">
        <v>2</v>
      </c>
      <c r="AC63" s="4">
        <v>2</v>
      </c>
      <c r="AD63" s="4">
        <v>14</v>
      </c>
      <c r="AE63" s="4">
        <v>14</v>
      </c>
      <c r="AF63" s="4">
        <v>3</v>
      </c>
      <c r="AG63" s="4">
        <v>3</v>
      </c>
      <c r="AH63" s="4">
        <v>4</v>
      </c>
      <c r="AI63" s="4">
        <v>4</v>
      </c>
      <c r="AJ63" s="4">
        <v>11</v>
      </c>
      <c r="AK63" s="4">
        <v>11</v>
      </c>
      <c r="AL63" s="4">
        <v>1</v>
      </c>
      <c r="AM63" s="4">
        <v>1</v>
      </c>
      <c r="AN63" s="4">
        <v>0</v>
      </c>
      <c r="AO63" s="4">
        <v>0</v>
      </c>
      <c r="AP63" s="3" t="s">
        <v>61</v>
      </c>
      <c r="AQ63" s="3" t="s">
        <v>59</v>
      </c>
      <c r="AR63" s="6" t="str">
        <f>HYPERLINK("http://catalog.hathitrust.org/Record/002437496","HathiTrust Record")</f>
        <v>HathiTrust Record</v>
      </c>
      <c r="AS63" s="6" t="str">
        <f>HYPERLINK("https://creighton-primo.hosted.exlibrisgroup.com/primo-explore/search?tab=default_tab&amp;search_scope=EVERYTHING&amp;vid=01CRU&amp;lang=en_US&amp;offset=0&amp;query=any,contains,991001702019702656","Catalog Record")</f>
        <v>Catalog Record</v>
      </c>
      <c r="AT63" s="6" t="str">
        <f>HYPERLINK("http://www.worldcat.org/oclc/21524643","WorldCat Record")</f>
        <v>WorldCat Record</v>
      </c>
      <c r="AU63" s="3" t="s">
        <v>743</v>
      </c>
      <c r="AV63" s="3" t="s">
        <v>744</v>
      </c>
      <c r="AW63" s="3" t="s">
        <v>745</v>
      </c>
      <c r="AX63" s="3" t="s">
        <v>745</v>
      </c>
      <c r="AY63" s="3" t="s">
        <v>746</v>
      </c>
      <c r="AZ63" s="3" t="s">
        <v>75</v>
      </c>
      <c r="BB63" s="3" t="s">
        <v>747</v>
      </c>
      <c r="BC63" s="3" t="s">
        <v>748</v>
      </c>
      <c r="BD63" s="3" t="s">
        <v>749</v>
      </c>
    </row>
    <row r="64" spans="1:56" ht="44.25" customHeight="1" x14ac:dyDescent="0.25">
      <c r="A64" s="7" t="s">
        <v>61</v>
      </c>
      <c r="B64" s="2" t="s">
        <v>750</v>
      </c>
      <c r="C64" s="2" t="s">
        <v>751</v>
      </c>
      <c r="D64" s="2" t="s">
        <v>752</v>
      </c>
      <c r="F64" s="3" t="s">
        <v>61</v>
      </c>
      <c r="G64" s="3" t="s">
        <v>60</v>
      </c>
      <c r="H64" s="3" t="s">
        <v>61</v>
      </c>
      <c r="I64" s="3" t="s">
        <v>61</v>
      </c>
      <c r="J64" s="3" t="s">
        <v>62</v>
      </c>
      <c r="K64" s="2" t="s">
        <v>753</v>
      </c>
      <c r="L64" s="2" t="s">
        <v>754</v>
      </c>
      <c r="M64" s="3" t="s">
        <v>755</v>
      </c>
      <c r="O64" s="3" t="s">
        <v>114</v>
      </c>
      <c r="P64" s="3" t="s">
        <v>235</v>
      </c>
      <c r="R64" s="3" t="s">
        <v>68</v>
      </c>
      <c r="S64" s="4">
        <v>3</v>
      </c>
      <c r="T64" s="4">
        <v>3</v>
      </c>
      <c r="U64" s="5" t="s">
        <v>756</v>
      </c>
      <c r="V64" s="5" t="s">
        <v>756</v>
      </c>
      <c r="W64" s="5" t="s">
        <v>757</v>
      </c>
      <c r="X64" s="5" t="s">
        <v>757</v>
      </c>
      <c r="Y64" s="4">
        <v>453</v>
      </c>
      <c r="Z64" s="4">
        <v>431</v>
      </c>
      <c r="AA64" s="4">
        <v>905</v>
      </c>
      <c r="AB64" s="4">
        <v>3</v>
      </c>
      <c r="AC64" s="4">
        <v>7</v>
      </c>
      <c r="AD64" s="4">
        <v>9</v>
      </c>
      <c r="AE64" s="4">
        <v>21</v>
      </c>
      <c r="AF64" s="4">
        <v>4</v>
      </c>
      <c r="AG64" s="4">
        <v>5</v>
      </c>
      <c r="AH64" s="4">
        <v>2</v>
      </c>
      <c r="AI64" s="4">
        <v>7</v>
      </c>
      <c r="AJ64" s="4">
        <v>5</v>
      </c>
      <c r="AK64" s="4">
        <v>9</v>
      </c>
      <c r="AL64" s="4">
        <v>1</v>
      </c>
      <c r="AM64" s="4">
        <v>3</v>
      </c>
      <c r="AN64" s="4">
        <v>0</v>
      </c>
      <c r="AO64" s="4">
        <v>1</v>
      </c>
      <c r="AP64" s="3" t="s">
        <v>61</v>
      </c>
      <c r="AQ64" s="3" t="s">
        <v>61</v>
      </c>
      <c r="AS64" s="6" t="str">
        <f>HYPERLINK("https://creighton-primo.hosted.exlibrisgroup.com/primo-explore/search?tab=default_tab&amp;search_scope=EVERYTHING&amp;vid=01CRU&amp;lang=en_US&amp;offset=0&amp;query=any,contains,991002248269702656","Catalog Record")</f>
        <v>Catalog Record</v>
      </c>
      <c r="AT64" s="6" t="str">
        <f>HYPERLINK("http://www.worldcat.org/oclc/297912","WorldCat Record")</f>
        <v>WorldCat Record</v>
      </c>
      <c r="AU64" s="3" t="s">
        <v>758</v>
      </c>
      <c r="AV64" s="3" t="s">
        <v>759</v>
      </c>
      <c r="AW64" s="3" t="s">
        <v>760</v>
      </c>
      <c r="AX64" s="3" t="s">
        <v>760</v>
      </c>
      <c r="AY64" s="3" t="s">
        <v>761</v>
      </c>
      <c r="AZ64" s="3" t="s">
        <v>75</v>
      </c>
      <c r="BB64" s="3" t="s">
        <v>762</v>
      </c>
      <c r="BC64" s="3" t="s">
        <v>763</v>
      </c>
      <c r="BD64" s="3" t="s">
        <v>764</v>
      </c>
    </row>
    <row r="65" spans="1:56" ht="44.25" customHeight="1" x14ac:dyDescent="0.25">
      <c r="A65" s="7" t="s">
        <v>61</v>
      </c>
      <c r="B65" s="2" t="s">
        <v>765</v>
      </c>
      <c r="C65" s="2" t="s">
        <v>766</v>
      </c>
      <c r="D65" s="2" t="s">
        <v>767</v>
      </c>
      <c r="F65" s="3" t="s">
        <v>61</v>
      </c>
      <c r="G65" s="3" t="s">
        <v>60</v>
      </c>
      <c r="H65" s="3" t="s">
        <v>61</v>
      </c>
      <c r="I65" s="3" t="s">
        <v>61</v>
      </c>
      <c r="J65" s="3" t="s">
        <v>62</v>
      </c>
      <c r="K65" s="2" t="s">
        <v>768</v>
      </c>
      <c r="L65" s="2" t="s">
        <v>769</v>
      </c>
      <c r="M65" s="3" t="s">
        <v>770</v>
      </c>
      <c r="O65" s="3" t="s">
        <v>114</v>
      </c>
      <c r="P65" s="3" t="s">
        <v>235</v>
      </c>
      <c r="R65" s="3" t="s">
        <v>68</v>
      </c>
      <c r="S65" s="4">
        <v>3</v>
      </c>
      <c r="T65" s="4">
        <v>3</v>
      </c>
      <c r="U65" s="5" t="s">
        <v>771</v>
      </c>
      <c r="V65" s="5" t="s">
        <v>771</v>
      </c>
      <c r="W65" s="5" t="s">
        <v>131</v>
      </c>
      <c r="X65" s="5" t="s">
        <v>131</v>
      </c>
      <c r="Y65" s="4">
        <v>468</v>
      </c>
      <c r="Z65" s="4">
        <v>456</v>
      </c>
      <c r="AA65" s="4">
        <v>648</v>
      </c>
      <c r="AB65" s="4">
        <v>4</v>
      </c>
      <c r="AC65" s="4">
        <v>6</v>
      </c>
      <c r="AD65" s="4">
        <v>21</v>
      </c>
      <c r="AE65" s="4">
        <v>33</v>
      </c>
      <c r="AF65" s="4">
        <v>8</v>
      </c>
      <c r="AG65" s="4">
        <v>11</v>
      </c>
      <c r="AH65" s="4">
        <v>3</v>
      </c>
      <c r="AI65" s="4">
        <v>6</v>
      </c>
      <c r="AJ65" s="4">
        <v>11</v>
      </c>
      <c r="AK65" s="4">
        <v>18</v>
      </c>
      <c r="AL65" s="4">
        <v>2</v>
      </c>
      <c r="AM65" s="4">
        <v>4</v>
      </c>
      <c r="AN65" s="4">
        <v>0</v>
      </c>
      <c r="AO65" s="4">
        <v>0</v>
      </c>
      <c r="AP65" s="3" t="s">
        <v>61</v>
      </c>
      <c r="AQ65" s="3" t="s">
        <v>61</v>
      </c>
      <c r="AS65" s="6" t="str">
        <f>HYPERLINK("https://creighton-primo.hosted.exlibrisgroup.com/primo-explore/search?tab=default_tab&amp;search_scope=EVERYTHING&amp;vid=01CRU&amp;lang=en_US&amp;offset=0&amp;query=any,contains,991003643389702656","Catalog Record")</f>
        <v>Catalog Record</v>
      </c>
      <c r="AT65" s="6" t="str">
        <f>HYPERLINK("http://www.worldcat.org/oclc/1241848","WorldCat Record")</f>
        <v>WorldCat Record</v>
      </c>
      <c r="AU65" s="3" t="s">
        <v>772</v>
      </c>
      <c r="AV65" s="3" t="s">
        <v>773</v>
      </c>
      <c r="AW65" s="3" t="s">
        <v>774</v>
      </c>
      <c r="AX65" s="3" t="s">
        <v>774</v>
      </c>
      <c r="AY65" s="3" t="s">
        <v>775</v>
      </c>
      <c r="AZ65" s="3" t="s">
        <v>75</v>
      </c>
      <c r="BB65" s="3" t="s">
        <v>776</v>
      </c>
      <c r="BC65" s="3" t="s">
        <v>777</v>
      </c>
      <c r="BD65" s="3" t="s">
        <v>778</v>
      </c>
    </row>
    <row r="66" spans="1:56" ht="44.25" customHeight="1" x14ac:dyDescent="0.25">
      <c r="A66" s="7" t="s">
        <v>61</v>
      </c>
      <c r="B66" s="2" t="s">
        <v>779</v>
      </c>
      <c r="C66" s="2" t="s">
        <v>780</v>
      </c>
      <c r="D66" s="2" t="s">
        <v>781</v>
      </c>
      <c r="F66" s="3" t="s">
        <v>61</v>
      </c>
      <c r="G66" s="3" t="s">
        <v>60</v>
      </c>
      <c r="H66" s="3" t="s">
        <v>61</v>
      </c>
      <c r="I66" s="3" t="s">
        <v>61</v>
      </c>
      <c r="J66" s="3" t="s">
        <v>62</v>
      </c>
      <c r="K66" s="2" t="s">
        <v>782</v>
      </c>
      <c r="L66" s="2" t="s">
        <v>783</v>
      </c>
      <c r="M66" s="3" t="s">
        <v>784</v>
      </c>
      <c r="O66" s="3" t="s">
        <v>114</v>
      </c>
      <c r="P66" s="3" t="s">
        <v>115</v>
      </c>
      <c r="R66" s="3" t="s">
        <v>68</v>
      </c>
      <c r="S66" s="4">
        <v>2</v>
      </c>
      <c r="T66" s="4">
        <v>2</v>
      </c>
      <c r="U66" s="5" t="s">
        <v>771</v>
      </c>
      <c r="V66" s="5" t="s">
        <v>771</v>
      </c>
      <c r="W66" s="5" t="s">
        <v>131</v>
      </c>
      <c r="X66" s="5" t="s">
        <v>131</v>
      </c>
      <c r="Y66" s="4">
        <v>374</v>
      </c>
      <c r="Z66" s="4">
        <v>344</v>
      </c>
      <c r="AA66" s="4">
        <v>346</v>
      </c>
      <c r="AB66" s="4">
        <v>4</v>
      </c>
      <c r="AC66" s="4">
        <v>4</v>
      </c>
      <c r="AD66" s="4">
        <v>22</v>
      </c>
      <c r="AE66" s="4">
        <v>22</v>
      </c>
      <c r="AF66" s="4">
        <v>7</v>
      </c>
      <c r="AG66" s="4">
        <v>7</v>
      </c>
      <c r="AH66" s="4">
        <v>6</v>
      </c>
      <c r="AI66" s="4">
        <v>6</v>
      </c>
      <c r="AJ66" s="4">
        <v>10</v>
      </c>
      <c r="AK66" s="4">
        <v>10</v>
      </c>
      <c r="AL66" s="4">
        <v>3</v>
      </c>
      <c r="AM66" s="4">
        <v>3</v>
      </c>
      <c r="AN66" s="4">
        <v>0</v>
      </c>
      <c r="AO66" s="4">
        <v>0</v>
      </c>
      <c r="AP66" s="3" t="s">
        <v>61</v>
      </c>
      <c r="AQ66" s="3" t="s">
        <v>59</v>
      </c>
      <c r="AR66" s="6" t="str">
        <f>HYPERLINK("http://catalog.hathitrust.org/Record/000481977","HathiTrust Record")</f>
        <v>HathiTrust Record</v>
      </c>
      <c r="AS66" s="6" t="str">
        <f>HYPERLINK("https://creighton-primo.hosted.exlibrisgroup.com/primo-explore/search?tab=default_tab&amp;search_scope=EVERYTHING&amp;vid=01CRU&amp;lang=en_US&amp;offset=0&amp;query=any,contains,991001373909702656","Catalog Record")</f>
        <v>Catalog Record</v>
      </c>
      <c r="AT66" s="6" t="str">
        <f>HYPERLINK("http://www.worldcat.org/oclc/224362","WorldCat Record")</f>
        <v>WorldCat Record</v>
      </c>
      <c r="AU66" s="3" t="s">
        <v>785</v>
      </c>
      <c r="AV66" s="3" t="s">
        <v>786</v>
      </c>
      <c r="AW66" s="3" t="s">
        <v>787</v>
      </c>
      <c r="AX66" s="3" t="s">
        <v>787</v>
      </c>
      <c r="AY66" s="3" t="s">
        <v>788</v>
      </c>
      <c r="AZ66" s="3" t="s">
        <v>75</v>
      </c>
      <c r="BC66" s="3" t="s">
        <v>789</v>
      </c>
      <c r="BD66" s="3" t="s">
        <v>790</v>
      </c>
    </row>
    <row r="67" spans="1:56" ht="44.25" customHeight="1" x14ac:dyDescent="0.25">
      <c r="A67" s="7" t="s">
        <v>61</v>
      </c>
      <c r="B67" s="2" t="s">
        <v>791</v>
      </c>
      <c r="C67" s="2" t="s">
        <v>792</v>
      </c>
      <c r="D67" s="2" t="s">
        <v>793</v>
      </c>
      <c r="F67" s="3" t="s">
        <v>61</v>
      </c>
      <c r="G67" s="3" t="s">
        <v>60</v>
      </c>
      <c r="H67" s="3" t="s">
        <v>61</v>
      </c>
      <c r="I67" s="3" t="s">
        <v>61</v>
      </c>
      <c r="J67" s="3" t="s">
        <v>62</v>
      </c>
      <c r="K67" s="2" t="s">
        <v>794</v>
      </c>
      <c r="L67" s="2" t="s">
        <v>795</v>
      </c>
      <c r="M67" s="3" t="s">
        <v>796</v>
      </c>
      <c r="O67" s="3" t="s">
        <v>114</v>
      </c>
      <c r="P67" s="3" t="s">
        <v>619</v>
      </c>
      <c r="Q67" s="2" t="s">
        <v>797</v>
      </c>
      <c r="R67" s="3" t="s">
        <v>68</v>
      </c>
      <c r="S67" s="4">
        <v>2</v>
      </c>
      <c r="T67" s="4">
        <v>2</v>
      </c>
      <c r="U67" s="5" t="s">
        <v>798</v>
      </c>
      <c r="V67" s="5" t="s">
        <v>798</v>
      </c>
      <c r="W67" s="5" t="s">
        <v>709</v>
      </c>
      <c r="X67" s="5" t="s">
        <v>709</v>
      </c>
      <c r="Y67" s="4">
        <v>150</v>
      </c>
      <c r="Z67" s="4">
        <v>141</v>
      </c>
      <c r="AA67" s="4">
        <v>150</v>
      </c>
      <c r="AB67" s="4">
        <v>2</v>
      </c>
      <c r="AC67" s="4">
        <v>2</v>
      </c>
      <c r="AD67" s="4">
        <v>5</v>
      </c>
      <c r="AE67" s="4">
        <v>5</v>
      </c>
      <c r="AF67" s="4">
        <v>1</v>
      </c>
      <c r="AG67" s="4">
        <v>1</v>
      </c>
      <c r="AH67" s="4">
        <v>2</v>
      </c>
      <c r="AI67" s="4">
        <v>2</v>
      </c>
      <c r="AJ67" s="4">
        <v>2</v>
      </c>
      <c r="AK67" s="4">
        <v>2</v>
      </c>
      <c r="AL67" s="4">
        <v>1</v>
      </c>
      <c r="AM67" s="4">
        <v>1</v>
      </c>
      <c r="AN67" s="4">
        <v>0</v>
      </c>
      <c r="AO67" s="4">
        <v>0</v>
      </c>
      <c r="AP67" s="3" t="s">
        <v>61</v>
      </c>
      <c r="AQ67" s="3" t="s">
        <v>59</v>
      </c>
      <c r="AR67" s="6" t="str">
        <f>HYPERLINK("http://catalog.hathitrust.org/Record/001082406","HathiTrust Record")</f>
        <v>HathiTrust Record</v>
      </c>
      <c r="AS67" s="6" t="str">
        <f>HYPERLINK("https://creighton-primo.hosted.exlibrisgroup.com/primo-explore/search?tab=default_tab&amp;search_scope=EVERYTHING&amp;vid=01CRU&amp;lang=en_US&amp;offset=0&amp;query=any,contains,991001337479702656","Catalog Record")</f>
        <v>Catalog Record</v>
      </c>
      <c r="AT67" s="6" t="str">
        <f>HYPERLINK("http://www.worldcat.org/oclc/22321812","WorldCat Record")</f>
        <v>WorldCat Record</v>
      </c>
      <c r="AU67" s="3" t="s">
        <v>799</v>
      </c>
      <c r="AV67" s="3" t="s">
        <v>800</v>
      </c>
      <c r="AW67" s="3" t="s">
        <v>801</v>
      </c>
      <c r="AX67" s="3" t="s">
        <v>801</v>
      </c>
      <c r="AY67" s="3" t="s">
        <v>802</v>
      </c>
      <c r="AZ67" s="3" t="s">
        <v>75</v>
      </c>
      <c r="BC67" s="3" t="s">
        <v>803</v>
      </c>
      <c r="BD67" s="3" t="s">
        <v>804</v>
      </c>
    </row>
    <row r="68" spans="1:56" ht="44.25" customHeight="1" x14ac:dyDescent="0.25">
      <c r="A68" s="7" t="s">
        <v>61</v>
      </c>
      <c r="B68" s="2" t="s">
        <v>805</v>
      </c>
      <c r="C68" s="2" t="s">
        <v>806</v>
      </c>
      <c r="D68" s="2" t="s">
        <v>807</v>
      </c>
      <c r="E68" s="3" t="s">
        <v>84</v>
      </c>
      <c r="F68" s="3" t="s">
        <v>59</v>
      </c>
      <c r="G68" s="3" t="s">
        <v>60</v>
      </c>
      <c r="H68" s="3" t="s">
        <v>61</v>
      </c>
      <c r="I68" s="3" t="s">
        <v>59</v>
      </c>
      <c r="J68" s="3" t="s">
        <v>62</v>
      </c>
      <c r="L68" s="2" t="s">
        <v>808</v>
      </c>
      <c r="M68" s="3" t="s">
        <v>809</v>
      </c>
      <c r="O68" s="3" t="s">
        <v>114</v>
      </c>
      <c r="P68" s="3" t="s">
        <v>235</v>
      </c>
      <c r="R68" s="3" t="s">
        <v>68</v>
      </c>
      <c r="S68" s="4">
        <v>0</v>
      </c>
      <c r="T68" s="4">
        <v>13</v>
      </c>
      <c r="V68" s="5" t="s">
        <v>810</v>
      </c>
      <c r="W68" s="5" t="s">
        <v>811</v>
      </c>
      <c r="X68" s="5" t="s">
        <v>811</v>
      </c>
      <c r="Y68" s="4">
        <v>561</v>
      </c>
      <c r="Z68" s="4">
        <v>524</v>
      </c>
      <c r="AA68" s="4">
        <v>1740</v>
      </c>
      <c r="AB68" s="4">
        <v>6</v>
      </c>
      <c r="AC68" s="4">
        <v>17</v>
      </c>
      <c r="AD68" s="4">
        <v>21</v>
      </c>
      <c r="AE68" s="4">
        <v>59</v>
      </c>
      <c r="AF68" s="4">
        <v>7</v>
      </c>
      <c r="AG68" s="4">
        <v>22</v>
      </c>
      <c r="AH68" s="4">
        <v>4</v>
      </c>
      <c r="AI68" s="4">
        <v>9</v>
      </c>
      <c r="AJ68" s="4">
        <v>8</v>
      </c>
      <c r="AK68" s="4">
        <v>26</v>
      </c>
      <c r="AL68" s="4">
        <v>4</v>
      </c>
      <c r="AM68" s="4">
        <v>13</v>
      </c>
      <c r="AN68" s="4">
        <v>0</v>
      </c>
      <c r="AO68" s="4">
        <v>0</v>
      </c>
      <c r="AP68" s="3" t="s">
        <v>59</v>
      </c>
      <c r="AQ68" s="3" t="s">
        <v>59</v>
      </c>
      <c r="AR68" s="6" t="str">
        <f t="shared" ref="AR68:AR75" si="3">HYPERLINK("http://catalog.hathitrust.org/Record/010482027","HathiTrust Record")</f>
        <v>HathiTrust Record</v>
      </c>
      <c r="AS68" s="6" t="str">
        <f t="shared" ref="AS68:AS75" si="4">HYPERLINK("https://creighton-primo.hosted.exlibrisgroup.com/primo-explore/search?tab=default_tab&amp;search_scope=EVERYTHING&amp;vid=01CRU&amp;lang=en_US&amp;offset=0&amp;query=any,contains,991005357799702656","Catalog Record")</f>
        <v>Catalog Record</v>
      </c>
      <c r="AT68" s="6" t="str">
        <f t="shared" ref="AT68:AT75" si="5">HYPERLINK("http://www.worldcat.org/oclc/14739796","WorldCat Record")</f>
        <v>WorldCat Record</v>
      </c>
      <c r="AU68" s="3" t="s">
        <v>812</v>
      </c>
      <c r="AV68" s="3" t="s">
        <v>813</v>
      </c>
      <c r="AW68" s="3" t="s">
        <v>814</v>
      </c>
      <c r="AX68" s="3" t="s">
        <v>814</v>
      </c>
      <c r="AY68" s="3" t="s">
        <v>815</v>
      </c>
      <c r="AZ68" s="3" t="s">
        <v>75</v>
      </c>
      <c r="BC68" s="3" t="s">
        <v>816</v>
      </c>
      <c r="BD68" s="3" t="s">
        <v>817</v>
      </c>
    </row>
    <row r="69" spans="1:56" ht="44.25" customHeight="1" x14ac:dyDescent="0.25">
      <c r="A69" s="7" t="s">
        <v>61</v>
      </c>
      <c r="B69" s="2" t="s">
        <v>805</v>
      </c>
      <c r="C69" s="2" t="s">
        <v>806</v>
      </c>
      <c r="D69" s="2" t="s">
        <v>807</v>
      </c>
      <c r="E69" s="3" t="s">
        <v>87</v>
      </c>
      <c r="F69" s="3" t="s">
        <v>59</v>
      </c>
      <c r="G69" s="3" t="s">
        <v>60</v>
      </c>
      <c r="H69" s="3" t="s">
        <v>61</v>
      </c>
      <c r="I69" s="3" t="s">
        <v>59</v>
      </c>
      <c r="J69" s="3" t="s">
        <v>62</v>
      </c>
      <c r="L69" s="2" t="s">
        <v>808</v>
      </c>
      <c r="M69" s="3" t="s">
        <v>809</v>
      </c>
      <c r="O69" s="3" t="s">
        <v>114</v>
      </c>
      <c r="P69" s="3" t="s">
        <v>235</v>
      </c>
      <c r="R69" s="3" t="s">
        <v>68</v>
      </c>
      <c r="S69" s="4">
        <v>0</v>
      </c>
      <c r="T69" s="4">
        <v>13</v>
      </c>
      <c r="V69" s="5" t="s">
        <v>810</v>
      </c>
      <c r="W69" s="5" t="s">
        <v>811</v>
      </c>
      <c r="X69" s="5" t="s">
        <v>811</v>
      </c>
      <c r="Y69" s="4">
        <v>561</v>
      </c>
      <c r="Z69" s="4">
        <v>524</v>
      </c>
      <c r="AA69" s="4">
        <v>1740</v>
      </c>
      <c r="AB69" s="4">
        <v>6</v>
      </c>
      <c r="AC69" s="4">
        <v>17</v>
      </c>
      <c r="AD69" s="4">
        <v>21</v>
      </c>
      <c r="AE69" s="4">
        <v>59</v>
      </c>
      <c r="AF69" s="4">
        <v>7</v>
      </c>
      <c r="AG69" s="4">
        <v>22</v>
      </c>
      <c r="AH69" s="4">
        <v>4</v>
      </c>
      <c r="AI69" s="4">
        <v>9</v>
      </c>
      <c r="AJ69" s="4">
        <v>8</v>
      </c>
      <c r="AK69" s="4">
        <v>26</v>
      </c>
      <c r="AL69" s="4">
        <v>4</v>
      </c>
      <c r="AM69" s="4">
        <v>13</v>
      </c>
      <c r="AN69" s="4">
        <v>0</v>
      </c>
      <c r="AO69" s="4">
        <v>0</v>
      </c>
      <c r="AP69" s="3" t="s">
        <v>59</v>
      </c>
      <c r="AQ69" s="3" t="s">
        <v>59</v>
      </c>
      <c r="AR69" s="6" t="str">
        <f t="shared" si="3"/>
        <v>HathiTrust Record</v>
      </c>
      <c r="AS69" s="6" t="str">
        <f t="shared" si="4"/>
        <v>Catalog Record</v>
      </c>
      <c r="AT69" s="6" t="str">
        <f t="shared" si="5"/>
        <v>WorldCat Record</v>
      </c>
      <c r="AU69" s="3" t="s">
        <v>812</v>
      </c>
      <c r="AV69" s="3" t="s">
        <v>813</v>
      </c>
      <c r="AW69" s="3" t="s">
        <v>814</v>
      </c>
      <c r="AX69" s="3" t="s">
        <v>814</v>
      </c>
      <c r="AY69" s="3" t="s">
        <v>815</v>
      </c>
      <c r="AZ69" s="3" t="s">
        <v>75</v>
      </c>
      <c r="BC69" s="3" t="s">
        <v>818</v>
      </c>
      <c r="BD69" s="3" t="s">
        <v>819</v>
      </c>
    </row>
    <row r="70" spans="1:56" ht="44.25" customHeight="1" x14ac:dyDescent="0.25">
      <c r="A70" s="7" t="s">
        <v>61</v>
      </c>
      <c r="B70" s="2" t="s">
        <v>805</v>
      </c>
      <c r="C70" s="2" t="s">
        <v>806</v>
      </c>
      <c r="D70" s="2" t="s">
        <v>807</v>
      </c>
      <c r="E70" s="3" t="s">
        <v>93</v>
      </c>
      <c r="F70" s="3" t="s">
        <v>59</v>
      </c>
      <c r="G70" s="3" t="s">
        <v>60</v>
      </c>
      <c r="H70" s="3" t="s">
        <v>61</v>
      </c>
      <c r="I70" s="3" t="s">
        <v>59</v>
      </c>
      <c r="J70" s="3" t="s">
        <v>62</v>
      </c>
      <c r="L70" s="2" t="s">
        <v>808</v>
      </c>
      <c r="M70" s="3" t="s">
        <v>809</v>
      </c>
      <c r="O70" s="3" t="s">
        <v>114</v>
      </c>
      <c r="P70" s="3" t="s">
        <v>235</v>
      </c>
      <c r="R70" s="3" t="s">
        <v>68</v>
      </c>
      <c r="S70" s="4">
        <v>5</v>
      </c>
      <c r="T70" s="4">
        <v>13</v>
      </c>
      <c r="U70" s="5" t="s">
        <v>810</v>
      </c>
      <c r="V70" s="5" t="s">
        <v>810</v>
      </c>
      <c r="W70" s="5" t="s">
        <v>811</v>
      </c>
      <c r="X70" s="5" t="s">
        <v>811</v>
      </c>
      <c r="Y70" s="4">
        <v>561</v>
      </c>
      <c r="Z70" s="4">
        <v>524</v>
      </c>
      <c r="AA70" s="4">
        <v>1740</v>
      </c>
      <c r="AB70" s="4">
        <v>6</v>
      </c>
      <c r="AC70" s="4">
        <v>17</v>
      </c>
      <c r="AD70" s="4">
        <v>21</v>
      </c>
      <c r="AE70" s="4">
        <v>59</v>
      </c>
      <c r="AF70" s="4">
        <v>7</v>
      </c>
      <c r="AG70" s="4">
        <v>22</v>
      </c>
      <c r="AH70" s="4">
        <v>4</v>
      </c>
      <c r="AI70" s="4">
        <v>9</v>
      </c>
      <c r="AJ70" s="4">
        <v>8</v>
      </c>
      <c r="AK70" s="4">
        <v>26</v>
      </c>
      <c r="AL70" s="4">
        <v>4</v>
      </c>
      <c r="AM70" s="4">
        <v>13</v>
      </c>
      <c r="AN70" s="4">
        <v>0</v>
      </c>
      <c r="AO70" s="4">
        <v>0</v>
      </c>
      <c r="AP70" s="3" t="s">
        <v>59</v>
      </c>
      <c r="AQ70" s="3" t="s">
        <v>59</v>
      </c>
      <c r="AR70" s="6" t="str">
        <f t="shared" si="3"/>
        <v>HathiTrust Record</v>
      </c>
      <c r="AS70" s="6" t="str">
        <f t="shared" si="4"/>
        <v>Catalog Record</v>
      </c>
      <c r="AT70" s="6" t="str">
        <f t="shared" si="5"/>
        <v>WorldCat Record</v>
      </c>
      <c r="AU70" s="3" t="s">
        <v>812</v>
      </c>
      <c r="AV70" s="3" t="s">
        <v>813</v>
      </c>
      <c r="AW70" s="3" t="s">
        <v>814</v>
      </c>
      <c r="AX70" s="3" t="s">
        <v>814</v>
      </c>
      <c r="AY70" s="3" t="s">
        <v>815</v>
      </c>
      <c r="AZ70" s="3" t="s">
        <v>75</v>
      </c>
      <c r="BC70" s="3" t="s">
        <v>820</v>
      </c>
      <c r="BD70" s="3" t="s">
        <v>821</v>
      </c>
    </row>
    <row r="71" spans="1:56" ht="44.25" customHeight="1" x14ac:dyDescent="0.25">
      <c r="A71" s="7" t="s">
        <v>61</v>
      </c>
      <c r="B71" s="2" t="s">
        <v>805</v>
      </c>
      <c r="C71" s="2" t="s">
        <v>806</v>
      </c>
      <c r="D71" s="2" t="s">
        <v>807</v>
      </c>
      <c r="E71" s="3" t="s">
        <v>99</v>
      </c>
      <c r="F71" s="3" t="s">
        <v>59</v>
      </c>
      <c r="G71" s="3" t="s">
        <v>60</v>
      </c>
      <c r="H71" s="3" t="s">
        <v>61</v>
      </c>
      <c r="I71" s="3" t="s">
        <v>59</v>
      </c>
      <c r="J71" s="3" t="s">
        <v>62</v>
      </c>
      <c r="L71" s="2" t="s">
        <v>808</v>
      </c>
      <c r="M71" s="3" t="s">
        <v>809</v>
      </c>
      <c r="O71" s="3" t="s">
        <v>114</v>
      </c>
      <c r="P71" s="3" t="s">
        <v>235</v>
      </c>
      <c r="R71" s="3" t="s">
        <v>68</v>
      </c>
      <c r="S71" s="4">
        <v>0</v>
      </c>
      <c r="T71" s="4">
        <v>13</v>
      </c>
      <c r="V71" s="5" t="s">
        <v>810</v>
      </c>
      <c r="W71" s="5" t="s">
        <v>811</v>
      </c>
      <c r="X71" s="5" t="s">
        <v>811</v>
      </c>
      <c r="Y71" s="4">
        <v>561</v>
      </c>
      <c r="Z71" s="4">
        <v>524</v>
      </c>
      <c r="AA71" s="4">
        <v>1740</v>
      </c>
      <c r="AB71" s="4">
        <v>6</v>
      </c>
      <c r="AC71" s="4">
        <v>17</v>
      </c>
      <c r="AD71" s="4">
        <v>21</v>
      </c>
      <c r="AE71" s="4">
        <v>59</v>
      </c>
      <c r="AF71" s="4">
        <v>7</v>
      </c>
      <c r="AG71" s="4">
        <v>22</v>
      </c>
      <c r="AH71" s="4">
        <v>4</v>
      </c>
      <c r="AI71" s="4">
        <v>9</v>
      </c>
      <c r="AJ71" s="4">
        <v>8</v>
      </c>
      <c r="AK71" s="4">
        <v>26</v>
      </c>
      <c r="AL71" s="4">
        <v>4</v>
      </c>
      <c r="AM71" s="4">
        <v>13</v>
      </c>
      <c r="AN71" s="4">
        <v>0</v>
      </c>
      <c r="AO71" s="4">
        <v>0</v>
      </c>
      <c r="AP71" s="3" t="s">
        <v>59</v>
      </c>
      <c r="AQ71" s="3" t="s">
        <v>59</v>
      </c>
      <c r="AR71" s="6" t="str">
        <f t="shared" si="3"/>
        <v>HathiTrust Record</v>
      </c>
      <c r="AS71" s="6" t="str">
        <f t="shared" si="4"/>
        <v>Catalog Record</v>
      </c>
      <c r="AT71" s="6" t="str">
        <f t="shared" si="5"/>
        <v>WorldCat Record</v>
      </c>
      <c r="AU71" s="3" t="s">
        <v>812</v>
      </c>
      <c r="AV71" s="3" t="s">
        <v>813</v>
      </c>
      <c r="AW71" s="3" t="s">
        <v>814</v>
      </c>
      <c r="AX71" s="3" t="s">
        <v>814</v>
      </c>
      <c r="AY71" s="3" t="s">
        <v>815</v>
      </c>
      <c r="AZ71" s="3" t="s">
        <v>75</v>
      </c>
      <c r="BC71" s="3" t="s">
        <v>822</v>
      </c>
      <c r="BD71" s="3" t="s">
        <v>823</v>
      </c>
    </row>
    <row r="72" spans="1:56" ht="44.25" customHeight="1" x14ac:dyDescent="0.25">
      <c r="A72" s="7" t="s">
        <v>61</v>
      </c>
      <c r="B72" s="2" t="s">
        <v>805</v>
      </c>
      <c r="C72" s="2" t="s">
        <v>806</v>
      </c>
      <c r="D72" s="2" t="s">
        <v>807</v>
      </c>
      <c r="E72" s="3" t="s">
        <v>141</v>
      </c>
      <c r="F72" s="3" t="s">
        <v>59</v>
      </c>
      <c r="G72" s="3" t="s">
        <v>60</v>
      </c>
      <c r="H72" s="3" t="s">
        <v>61</v>
      </c>
      <c r="I72" s="3" t="s">
        <v>59</v>
      </c>
      <c r="J72" s="3" t="s">
        <v>62</v>
      </c>
      <c r="L72" s="2" t="s">
        <v>808</v>
      </c>
      <c r="M72" s="3" t="s">
        <v>809</v>
      </c>
      <c r="O72" s="3" t="s">
        <v>114</v>
      </c>
      <c r="P72" s="3" t="s">
        <v>235</v>
      </c>
      <c r="R72" s="3" t="s">
        <v>68</v>
      </c>
      <c r="S72" s="4">
        <v>0</v>
      </c>
      <c r="T72" s="4">
        <v>13</v>
      </c>
      <c r="V72" s="5" t="s">
        <v>810</v>
      </c>
      <c r="W72" s="5" t="s">
        <v>811</v>
      </c>
      <c r="X72" s="5" t="s">
        <v>811</v>
      </c>
      <c r="Y72" s="4">
        <v>561</v>
      </c>
      <c r="Z72" s="4">
        <v>524</v>
      </c>
      <c r="AA72" s="4">
        <v>1740</v>
      </c>
      <c r="AB72" s="4">
        <v>6</v>
      </c>
      <c r="AC72" s="4">
        <v>17</v>
      </c>
      <c r="AD72" s="4">
        <v>21</v>
      </c>
      <c r="AE72" s="4">
        <v>59</v>
      </c>
      <c r="AF72" s="4">
        <v>7</v>
      </c>
      <c r="AG72" s="4">
        <v>22</v>
      </c>
      <c r="AH72" s="4">
        <v>4</v>
      </c>
      <c r="AI72" s="4">
        <v>9</v>
      </c>
      <c r="AJ72" s="4">
        <v>8</v>
      </c>
      <c r="AK72" s="4">
        <v>26</v>
      </c>
      <c r="AL72" s="4">
        <v>4</v>
      </c>
      <c r="AM72" s="4">
        <v>13</v>
      </c>
      <c r="AN72" s="4">
        <v>0</v>
      </c>
      <c r="AO72" s="4">
        <v>0</v>
      </c>
      <c r="AP72" s="3" t="s">
        <v>59</v>
      </c>
      <c r="AQ72" s="3" t="s">
        <v>59</v>
      </c>
      <c r="AR72" s="6" t="str">
        <f t="shared" si="3"/>
        <v>HathiTrust Record</v>
      </c>
      <c r="AS72" s="6" t="str">
        <f t="shared" si="4"/>
        <v>Catalog Record</v>
      </c>
      <c r="AT72" s="6" t="str">
        <f t="shared" si="5"/>
        <v>WorldCat Record</v>
      </c>
      <c r="AU72" s="3" t="s">
        <v>812</v>
      </c>
      <c r="AV72" s="3" t="s">
        <v>813</v>
      </c>
      <c r="AW72" s="3" t="s">
        <v>814</v>
      </c>
      <c r="AX72" s="3" t="s">
        <v>814</v>
      </c>
      <c r="AY72" s="3" t="s">
        <v>815</v>
      </c>
      <c r="AZ72" s="3" t="s">
        <v>75</v>
      </c>
      <c r="BC72" s="3" t="s">
        <v>824</v>
      </c>
      <c r="BD72" s="3" t="s">
        <v>825</v>
      </c>
    </row>
    <row r="73" spans="1:56" ht="44.25" customHeight="1" x14ac:dyDescent="0.25">
      <c r="A73" s="7" t="s">
        <v>61</v>
      </c>
      <c r="B73" s="2" t="s">
        <v>805</v>
      </c>
      <c r="C73" s="2" t="s">
        <v>806</v>
      </c>
      <c r="D73" s="2" t="s">
        <v>807</v>
      </c>
      <c r="E73" s="3" t="s">
        <v>81</v>
      </c>
      <c r="F73" s="3" t="s">
        <v>59</v>
      </c>
      <c r="G73" s="3" t="s">
        <v>60</v>
      </c>
      <c r="H73" s="3" t="s">
        <v>61</v>
      </c>
      <c r="I73" s="3" t="s">
        <v>59</v>
      </c>
      <c r="J73" s="3" t="s">
        <v>62</v>
      </c>
      <c r="L73" s="2" t="s">
        <v>808</v>
      </c>
      <c r="M73" s="3" t="s">
        <v>809</v>
      </c>
      <c r="O73" s="3" t="s">
        <v>114</v>
      </c>
      <c r="P73" s="3" t="s">
        <v>235</v>
      </c>
      <c r="R73" s="3" t="s">
        <v>68</v>
      </c>
      <c r="S73" s="4">
        <v>8</v>
      </c>
      <c r="T73" s="4">
        <v>13</v>
      </c>
      <c r="U73" s="5" t="s">
        <v>810</v>
      </c>
      <c r="V73" s="5" t="s">
        <v>810</v>
      </c>
      <c r="W73" s="5" t="s">
        <v>811</v>
      </c>
      <c r="X73" s="5" t="s">
        <v>811</v>
      </c>
      <c r="Y73" s="4">
        <v>561</v>
      </c>
      <c r="Z73" s="4">
        <v>524</v>
      </c>
      <c r="AA73" s="4">
        <v>1740</v>
      </c>
      <c r="AB73" s="4">
        <v>6</v>
      </c>
      <c r="AC73" s="4">
        <v>17</v>
      </c>
      <c r="AD73" s="4">
        <v>21</v>
      </c>
      <c r="AE73" s="4">
        <v>59</v>
      </c>
      <c r="AF73" s="4">
        <v>7</v>
      </c>
      <c r="AG73" s="4">
        <v>22</v>
      </c>
      <c r="AH73" s="4">
        <v>4</v>
      </c>
      <c r="AI73" s="4">
        <v>9</v>
      </c>
      <c r="AJ73" s="4">
        <v>8</v>
      </c>
      <c r="AK73" s="4">
        <v>26</v>
      </c>
      <c r="AL73" s="4">
        <v>4</v>
      </c>
      <c r="AM73" s="4">
        <v>13</v>
      </c>
      <c r="AN73" s="4">
        <v>0</v>
      </c>
      <c r="AO73" s="4">
        <v>0</v>
      </c>
      <c r="AP73" s="3" t="s">
        <v>59</v>
      </c>
      <c r="AQ73" s="3" t="s">
        <v>59</v>
      </c>
      <c r="AR73" s="6" t="str">
        <f t="shared" si="3"/>
        <v>HathiTrust Record</v>
      </c>
      <c r="AS73" s="6" t="str">
        <f t="shared" si="4"/>
        <v>Catalog Record</v>
      </c>
      <c r="AT73" s="6" t="str">
        <f t="shared" si="5"/>
        <v>WorldCat Record</v>
      </c>
      <c r="AU73" s="3" t="s">
        <v>812</v>
      </c>
      <c r="AV73" s="3" t="s">
        <v>813</v>
      </c>
      <c r="AW73" s="3" t="s">
        <v>814</v>
      </c>
      <c r="AX73" s="3" t="s">
        <v>814</v>
      </c>
      <c r="AY73" s="3" t="s">
        <v>815</v>
      </c>
      <c r="AZ73" s="3" t="s">
        <v>75</v>
      </c>
      <c r="BC73" s="3" t="s">
        <v>826</v>
      </c>
      <c r="BD73" s="3" t="s">
        <v>827</v>
      </c>
    </row>
    <row r="74" spans="1:56" ht="44.25" customHeight="1" x14ac:dyDescent="0.25">
      <c r="A74" s="7" t="s">
        <v>61</v>
      </c>
      <c r="B74" s="2" t="s">
        <v>805</v>
      </c>
      <c r="C74" s="2" t="s">
        <v>806</v>
      </c>
      <c r="D74" s="2" t="s">
        <v>807</v>
      </c>
      <c r="E74" s="3" t="s">
        <v>78</v>
      </c>
      <c r="F74" s="3" t="s">
        <v>59</v>
      </c>
      <c r="G74" s="3" t="s">
        <v>60</v>
      </c>
      <c r="H74" s="3" t="s">
        <v>61</v>
      </c>
      <c r="I74" s="3" t="s">
        <v>59</v>
      </c>
      <c r="J74" s="3" t="s">
        <v>62</v>
      </c>
      <c r="L74" s="2" t="s">
        <v>808</v>
      </c>
      <c r="M74" s="3" t="s">
        <v>809</v>
      </c>
      <c r="O74" s="3" t="s">
        <v>114</v>
      </c>
      <c r="P74" s="3" t="s">
        <v>235</v>
      </c>
      <c r="R74" s="3" t="s">
        <v>68</v>
      </c>
      <c r="S74" s="4">
        <v>0</v>
      </c>
      <c r="T74" s="4">
        <v>13</v>
      </c>
      <c r="V74" s="5" t="s">
        <v>810</v>
      </c>
      <c r="W74" s="5" t="s">
        <v>811</v>
      </c>
      <c r="X74" s="5" t="s">
        <v>811</v>
      </c>
      <c r="Y74" s="4">
        <v>561</v>
      </c>
      <c r="Z74" s="4">
        <v>524</v>
      </c>
      <c r="AA74" s="4">
        <v>1740</v>
      </c>
      <c r="AB74" s="4">
        <v>6</v>
      </c>
      <c r="AC74" s="4">
        <v>17</v>
      </c>
      <c r="AD74" s="4">
        <v>21</v>
      </c>
      <c r="AE74" s="4">
        <v>59</v>
      </c>
      <c r="AF74" s="4">
        <v>7</v>
      </c>
      <c r="AG74" s="4">
        <v>22</v>
      </c>
      <c r="AH74" s="4">
        <v>4</v>
      </c>
      <c r="AI74" s="4">
        <v>9</v>
      </c>
      <c r="AJ74" s="4">
        <v>8</v>
      </c>
      <c r="AK74" s="4">
        <v>26</v>
      </c>
      <c r="AL74" s="4">
        <v>4</v>
      </c>
      <c r="AM74" s="4">
        <v>13</v>
      </c>
      <c r="AN74" s="4">
        <v>0</v>
      </c>
      <c r="AO74" s="4">
        <v>0</v>
      </c>
      <c r="AP74" s="3" t="s">
        <v>59</v>
      </c>
      <c r="AQ74" s="3" t="s">
        <v>59</v>
      </c>
      <c r="AR74" s="6" t="str">
        <f t="shared" si="3"/>
        <v>HathiTrust Record</v>
      </c>
      <c r="AS74" s="6" t="str">
        <f t="shared" si="4"/>
        <v>Catalog Record</v>
      </c>
      <c r="AT74" s="6" t="str">
        <f t="shared" si="5"/>
        <v>WorldCat Record</v>
      </c>
      <c r="AU74" s="3" t="s">
        <v>812</v>
      </c>
      <c r="AV74" s="3" t="s">
        <v>813</v>
      </c>
      <c r="AW74" s="3" t="s">
        <v>814</v>
      </c>
      <c r="AX74" s="3" t="s">
        <v>814</v>
      </c>
      <c r="AY74" s="3" t="s">
        <v>815</v>
      </c>
      <c r="AZ74" s="3" t="s">
        <v>75</v>
      </c>
      <c r="BC74" s="3" t="s">
        <v>828</v>
      </c>
      <c r="BD74" s="3" t="s">
        <v>829</v>
      </c>
    </row>
    <row r="75" spans="1:56" ht="44.25" customHeight="1" x14ac:dyDescent="0.25">
      <c r="A75" s="7" t="s">
        <v>61</v>
      </c>
      <c r="B75" s="2" t="s">
        <v>805</v>
      </c>
      <c r="C75" s="2" t="s">
        <v>806</v>
      </c>
      <c r="D75" s="2" t="s">
        <v>807</v>
      </c>
      <c r="E75" s="3" t="s">
        <v>90</v>
      </c>
      <c r="F75" s="3" t="s">
        <v>59</v>
      </c>
      <c r="G75" s="3" t="s">
        <v>60</v>
      </c>
      <c r="H75" s="3" t="s">
        <v>61</v>
      </c>
      <c r="I75" s="3" t="s">
        <v>59</v>
      </c>
      <c r="J75" s="3" t="s">
        <v>62</v>
      </c>
      <c r="L75" s="2" t="s">
        <v>808</v>
      </c>
      <c r="M75" s="3" t="s">
        <v>809</v>
      </c>
      <c r="O75" s="3" t="s">
        <v>114</v>
      </c>
      <c r="P75" s="3" t="s">
        <v>235</v>
      </c>
      <c r="R75" s="3" t="s">
        <v>68</v>
      </c>
      <c r="S75" s="4">
        <v>0</v>
      </c>
      <c r="T75" s="4">
        <v>13</v>
      </c>
      <c r="V75" s="5" t="s">
        <v>810</v>
      </c>
      <c r="W75" s="5" t="s">
        <v>811</v>
      </c>
      <c r="X75" s="5" t="s">
        <v>811</v>
      </c>
      <c r="Y75" s="4">
        <v>561</v>
      </c>
      <c r="Z75" s="4">
        <v>524</v>
      </c>
      <c r="AA75" s="4">
        <v>1740</v>
      </c>
      <c r="AB75" s="4">
        <v>6</v>
      </c>
      <c r="AC75" s="4">
        <v>17</v>
      </c>
      <c r="AD75" s="4">
        <v>21</v>
      </c>
      <c r="AE75" s="4">
        <v>59</v>
      </c>
      <c r="AF75" s="4">
        <v>7</v>
      </c>
      <c r="AG75" s="4">
        <v>22</v>
      </c>
      <c r="AH75" s="4">
        <v>4</v>
      </c>
      <c r="AI75" s="4">
        <v>9</v>
      </c>
      <c r="AJ75" s="4">
        <v>8</v>
      </c>
      <c r="AK75" s="4">
        <v>26</v>
      </c>
      <c r="AL75" s="4">
        <v>4</v>
      </c>
      <c r="AM75" s="4">
        <v>13</v>
      </c>
      <c r="AN75" s="4">
        <v>0</v>
      </c>
      <c r="AO75" s="4">
        <v>0</v>
      </c>
      <c r="AP75" s="3" t="s">
        <v>59</v>
      </c>
      <c r="AQ75" s="3" t="s">
        <v>59</v>
      </c>
      <c r="AR75" s="6" t="str">
        <f t="shared" si="3"/>
        <v>HathiTrust Record</v>
      </c>
      <c r="AS75" s="6" t="str">
        <f t="shared" si="4"/>
        <v>Catalog Record</v>
      </c>
      <c r="AT75" s="6" t="str">
        <f t="shared" si="5"/>
        <v>WorldCat Record</v>
      </c>
      <c r="AU75" s="3" t="s">
        <v>812</v>
      </c>
      <c r="AV75" s="3" t="s">
        <v>813</v>
      </c>
      <c r="AW75" s="3" t="s">
        <v>814</v>
      </c>
      <c r="AX75" s="3" t="s">
        <v>814</v>
      </c>
      <c r="AY75" s="3" t="s">
        <v>815</v>
      </c>
      <c r="AZ75" s="3" t="s">
        <v>75</v>
      </c>
      <c r="BC75" s="3" t="s">
        <v>830</v>
      </c>
      <c r="BD75" s="3" t="s">
        <v>831</v>
      </c>
    </row>
    <row r="76" spans="1:56" ht="44.25" customHeight="1" x14ac:dyDescent="0.25">
      <c r="A76" s="7" t="s">
        <v>61</v>
      </c>
      <c r="B76" s="2" t="s">
        <v>832</v>
      </c>
      <c r="C76" s="2" t="s">
        <v>833</v>
      </c>
      <c r="D76" s="2" t="s">
        <v>834</v>
      </c>
      <c r="E76" s="3" t="s">
        <v>141</v>
      </c>
      <c r="F76" s="3" t="s">
        <v>59</v>
      </c>
      <c r="G76" s="3" t="s">
        <v>60</v>
      </c>
      <c r="H76" s="3" t="s">
        <v>61</v>
      </c>
      <c r="I76" s="3" t="s">
        <v>61</v>
      </c>
      <c r="J76" s="3" t="s">
        <v>62</v>
      </c>
      <c r="K76" s="2" t="s">
        <v>835</v>
      </c>
      <c r="L76" s="2" t="s">
        <v>836</v>
      </c>
      <c r="M76" s="3" t="s">
        <v>837</v>
      </c>
      <c r="N76" s="2" t="s">
        <v>838</v>
      </c>
      <c r="O76" s="3" t="s">
        <v>114</v>
      </c>
      <c r="P76" s="3" t="s">
        <v>67</v>
      </c>
      <c r="Q76" s="2" t="s">
        <v>839</v>
      </c>
      <c r="R76" s="3" t="s">
        <v>68</v>
      </c>
      <c r="S76" s="4">
        <v>1</v>
      </c>
      <c r="T76" s="4">
        <v>3</v>
      </c>
      <c r="U76" s="5" t="s">
        <v>840</v>
      </c>
      <c r="V76" s="5" t="s">
        <v>840</v>
      </c>
      <c r="W76" s="5" t="s">
        <v>131</v>
      </c>
      <c r="X76" s="5" t="s">
        <v>131</v>
      </c>
      <c r="Y76" s="4">
        <v>322</v>
      </c>
      <c r="Z76" s="4">
        <v>292</v>
      </c>
      <c r="AA76" s="4">
        <v>658</v>
      </c>
      <c r="AB76" s="4">
        <v>5</v>
      </c>
      <c r="AC76" s="4">
        <v>9</v>
      </c>
      <c r="AD76" s="4">
        <v>20</v>
      </c>
      <c r="AE76" s="4">
        <v>38</v>
      </c>
      <c r="AF76" s="4">
        <v>5</v>
      </c>
      <c r="AG76" s="4">
        <v>12</v>
      </c>
      <c r="AH76" s="4">
        <v>1</v>
      </c>
      <c r="AI76" s="4">
        <v>5</v>
      </c>
      <c r="AJ76" s="4">
        <v>12</v>
      </c>
      <c r="AK76" s="4">
        <v>16</v>
      </c>
      <c r="AL76" s="4">
        <v>4</v>
      </c>
      <c r="AM76" s="4">
        <v>5</v>
      </c>
      <c r="AN76" s="4">
        <v>0</v>
      </c>
      <c r="AO76" s="4">
        <v>5</v>
      </c>
      <c r="AP76" s="3" t="s">
        <v>59</v>
      </c>
      <c r="AQ76" s="3" t="s">
        <v>61</v>
      </c>
      <c r="AR76" s="6" t="str">
        <f>HYPERLINK("http://catalog.hathitrust.org/Record/006062841","HathiTrust Record")</f>
        <v>HathiTrust Record</v>
      </c>
      <c r="AS76" s="6" t="str">
        <f>HYPERLINK("https://creighton-primo.hosted.exlibrisgroup.com/primo-explore/search?tab=default_tab&amp;search_scope=EVERYTHING&amp;vid=01CRU&amp;lang=en_US&amp;offset=0&amp;query=any,contains,991003093279702656","Catalog Record")</f>
        <v>Catalog Record</v>
      </c>
      <c r="AT76" s="6" t="str">
        <f>HYPERLINK("http://www.worldcat.org/oclc/643445","WorldCat Record")</f>
        <v>WorldCat Record</v>
      </c>
      <c r="AU76" s="3" t="s">
        <v>841</v>
      </c>
      <c r="AV76" s="3" t="s">
        <v>842</v>
      </c>
      <c r="AW76" s="3" t="s">
        <v>843</v>
      </c>
      <c r="AX76" s="3" t="s">
        <v>843</v>
      </c>
      <c r="AY76" s="3" t="s">
        <v>844</v>
      </c>
      <c r="AZ76" s="3" t="s">
        <v>75</v>
      </c>
      <c r="BC76" s="3" t="s">
        <v>845</v>
      </c>
      <c r="BD76" s="3" t="s">
        <v>846</v>
      </c>
    </row>
    <row r="77" spans="1:56" ht="44.25" customHeight="1" x14ac:dyDescent="0.25">
      <c r="A77" s="7" t="s">
        <v>61</v>
      </c>
      <c r="B77" s="2" t="s">
        <v>832</v>
      </c>
      <c r="C77" s="2" t="s">
        <v>833</v>
      </c>
      <c r="D77" s="2" t="s">
        <v>834</v>
      </c>
      <c r="E77" s="3" t="s">
        <v>84</v>
      </c>
      <c r="F77" s="3" t="s">
        <v>59</v>
      </c>
      <c r="G77" s="3" t="s">
        <v>60</v>
      </c>
      <c r="H77" s="3" t="s">
        <v>61</v>
      </c>
      <c r="I77" s="3" t="s">
        <v>61</v>
      </c>
      <c r="J77" s="3" t="s">
        <v>62</v>
      </c>
      <c r="K77" s="2" t="s">
        <v>835</v>
      </c>
      <c r="L77" s="2" t="s">
        <v>836</v>
      </c>
      <c r="M77" s="3" t="s">
        <v>837</v>
      </c>
      <c r="N77" s="2" t="s">
        <v>838</v>
      </c>
      <c r="O77" s="3" t="s">
        <v>114</v>
      </c>
      <c r="P77" s="3" t="s">
        <v>67</v>
      </c>
      <c r="Q77" s="2" t="s">
        <v>839</v>
      </c>
      <c r="R77" s="3" t="s">
        <v>68</v>
      </c>
      <c r="S77" s="4">
        <v>1</v>
      </c>
      <c r="T77" s="4">
        <v>3</v>
      </c>
      <c r="U77" s="5" t="s">
        <v>840</v>
      </c>
      <c r="V77" s="5" t="s">
        <v>840</v>
      </c>
      <c r="W77" s="5" t="s">
        <v>131</v>
      </c>
      <c r="X77" s="5" t="s">
        <v>131</v>
      </c>
      <c r="Y77" s="4">
        <v>322</v>
      </c>
      <c r="Z77" s="4">
        <v>292</v>
      </c>
      <c r="AA77" s="4">
        <v>658</v>
      </c>
      <c r="AB77" s="4">
        <v>5</v>
      </c>
      <c r="AC77" s="4">
        <v>9</v>
      </c>
      <c r="AD77" s="4">
        <v>20</v>
      </c>
      <c r="AE77" s="4">
        <v>38</v>
      </c>
      <c r="AF77" s="4">
        <v>5</v>
      </c>
      <c r="AG77" s="4">
        <v>12</v>
      </c>
      <c r="AH77" s="4">
        <v>1</v>
      </c>
      <c r="AI77" s="4">
        <v>5</v>
      </c>
      <c r="AJ77" s="4">
        <v>12</v>
      </c>
      <c r="AK77" s="4">
        <v>16</v>
      </c>
      <c r="AL77" s="4">
        <v>4</v>
      </c>
      <c r="AM77" s="4">
        <v>5</v>
      </c>
      <c r="AN77" s="4">
        <v>0</v>
      </c>
      <c r="AO77" s="4">
        <v>5</v>
      </c>
      <c r="AP77" s="3" t="s">
        <v>59</v>
      </c>
      <c r="AQ77" s="3" t="s">
        <v>61</v>
      </c>
      <c r="AR77" s="6" t="str">
        <f>HYPERLINK("http://catalog.hathitrust.org/Record/006062841","HathiTrust Record")</f>
        <v>HathiTrust Record</v>
      </c>
      <c r="AS77" s="6" t="str">
        <f>HYPERLINK("https://creighton-primo.hosted.exlibrisgroup.com/primo-explore/search?tab=default_tab&amp;search_scope=EVERYTHING&amp;vid=01CRU&amp;lang=en_US&amp;offset=0&amp;query=any,contains,991003093279702656","Catalog Record")</f>
        <v>Catalog Record</v>
      </c>
      <c r="AT77" s="6" t="str">
        <f>HYPERLINK("http://www.worldcat.org/oclc/643445","WorldCat Record")</f>
        <v>WorldCat Record</v>
      </c>
      <c r="AU77" s="3" t="s">
        <v>841</v>
      </c>
      <c r="AV77" s="3" t="s">
        <v>842</v>
      </c>
      <c r="AW77" s="3" t="s">
        <v>843</v>
      </c>
      <c r="AX77" s="3" t="s">
        <v>843</v>
      </c>
      <c r="AY77" s="3" t="s">
        <v>844</v>
      </c>
      <c r="AZ77" s="3" t="s">
        <v>75</v>
      </c>
      <c r="BC77" s="3" t="s">
        <v>847</v>
      </c>
      <c r="BD77" s="3" t="s">
        <v>848</v>
      </c>
    </row>
    <row r="78" spans="1:56" ht="44.25" customHeight="1" x14ac:dyDescent="0.25">
      <c r="A78" s="7" t="s">
        <v>61</v>
      </c>
      <c r="B78" s="2" t="s">
        <v>832</v>
      </c>
      <c r="C78" s="2" t="s">
        <v>833</v>
      </c>
      <c r="D78" s="2" t="s">
        <v>834</v>
      </c>
      <c r="E78" s="3" t="s">
        <v>90</v>
      </c>
      <c r="F78" s="3" t="s">
        <v>59</v>
      </c>
      <c r="G78" s="3" t="s">
        <v>60</v>
      </c>
      <c r="H78" s="3" t="s">
        <v>61</v>
      </c>
      <c r="I78" s="3" t="s">
        <v>61</v>
      </c>
      <c r="J78" s="3" t="s">
        <v>62</v>
      </c>
      <c r="K78" s="2" t="s">
        <v>835</v>
      </c>
      <c r="L78" s="2" t="s">
        <v>836</v>
      </c>
      <c r="M78" s="3" t="s">
        <v>837</v>
      </c>
      <c r="N78" s="2" t="s">
        <v>838</v>
      </c>
      <c r="O78" s="3" t="s">
        <v>114</v>
      </c>
      <c r="P78" s="3" t="s">
        <v>67</v>
      </c>
      <c r="Q78" s="2" t="s">
        <v>839</v>
      </c>
      <c r="R78" s="3" t="s">
        <v>68</v>
      </c>
      <c r="S78" s="4">
        <v>1</v>
      </c>
      <c r="T78" s="4">
        <v>3</v>
      </c>
      <c r="U78" s="5" t="s">
        <v>840</v>
      </c>
      <c r="V78" s="5" t="s">
        <v>840</v>
      </c>
      <c r="W78" s="5" t="s">
        <v>131</v>
      </c>
      <c r="X78" s="5" t="s">
        <v>131</v>
      </c>
      <c r="Y78" s="4">
        <v>322</v>
      </c>
      <c r="Z78" s="4">
        <v>292</v>
      </c>
      <c r="AA78" s="4">
        <v>658</v>
      </c>
      <c r="AB78" s="4">
        <v>5</v>
      </c>
      <c r="AC78" s="4">
        <v>9</v>
      </c>
      <c r="AD78" s="4">
        <v>20</v>
      </c>
      <c r="AE78" s="4">
        <v>38</v>
      </c>
      <c r="AF78" s="4">
        <v>5</v>
      </c>
      <c r="AG78" s="4">
        <v>12</v>
      </c>
      <c r="AH78" s="4">
        <v>1</v>
      </c>
      <c r="AI78" s="4">
        <v>5</v>
      </c>
      <c r="AJ78" s="4">
        <v>12</v>
      </c>
      <c r="AK78" s="4">
        <v>16</v>
      </c>
      <c r="AL78" s="4">
        <v>4</v>
      </c>
      <c r="AM78" s="4">
        <v>5</v>
      </c>
      <c r="AN78" s="4">
        <v>0</v>
      </c>
      <c r="AO78" s="4">
        <v>5</v>
      </c>
      <c r="AP78" s="3" t="s">
        <v>59</v>
      </c>
      <c r="AQ78" s="3" t="s">
        <v>61</v>
      </c>
      <c r="AR78" s="6" t="str">
        <f>HYPERLINK("http://catalog.hathitrust.org/Record/006062841","HathiTrust Record")</f>
        <v>HathiTrust Record</v>
      </c>
      <c r="AS78" s="6" t="str">
        <f>HYPERLINK("https://creighton-primo.hosted.exlibrisgroup.com/primo-explore/search?tab=default_tab&amp;search_scope=EVERYTHING&amp;vid=01CRU&amp;lang=en_US&amp;offset=0&amp;query=any,contains,991003093279702656","Catalog Record")</f>
        <v>Catalog Record</v>
      </c>
      <c r="AT78" s="6" t="str">
        <f>HYPERLINK("http://www.worldcat.org/oclc/643445","WorldCat Record")</f>
        <v>WorldCat Record</v>
      </c>
      <c r="AU78" s="3" t="s">
        <v>841</v>
      </c>
      <c r="AV78" s="3" t="s">
        <v>842</v>
      </c>
      <c r="AW78" s="3" t="s">
        <v>843</v>
      </c>
      <c r="AX78" s="3" t="s">
        <v>843</v>
      </c>
      <c r="AY78" s="3" t="s">
        <v>844</v>
      </c>
      <c r="AZ78" s="3" t="s">
        <v>75</v>
      </c>
      <c r="BC78" s="3" t="s">
        <v>849</v>
      </c>
      <c r="BD78" s="3" t="s">
        <v>850</v>
      </c>
    </row>
    <row r="79" spans="1:56" ht="44.25" customHeight="1" x14ac:dyDescent="0.25">
      <c r="A79" s="7" t="s">
        <v>61</v>
      </c>
      <c r="B79" s="2" t="s">
        <v>851</v>
      </c>
      <c r="C79" s="2" t="s">
        <v>852</v>
      </c>
      <c r="D79" s="2" t="s">
        <v>853</v>
      </c>
      <c r="F79" s="3" t="s">
        <v>61</v>
      </c>
      <c r="G79" s="3" t="s">
        <v>60</v>
      </c>
      <c r="H79" s="3" t="s">
        <v>61</v>
      </c>
      <c r="I79" s="3" t="s">
        <v>61</v>
      </c>
      <c r="J79" s="3" t="s">
        <v>62</v>
      </c>
      <c r="K79" s="2" t="s">
        <v>854</v>
      </c>
      <c r="L79" s="2" t="s">
        <v>855</v>
      </c>
      <c r="M79" s="3" t="s">
        <v>856</v>
      </c>
      <c r="N79" s="2" t="s">
        <v>838</v>
      </c>
      <c r="O79" s="3" t="s">
        <v>114</v>
      </c>
      <c r="P79" s="3" t="s">
        <v>235</v>
      </c>
      <c r="Q79" s="2" t="s">
        <v>857</v>
      </c>
      <c r="R79" s="3" t="s">
        <v>68</v>
      </c>
      <c r="S79" s="4">
        <v>4</v>
      </c>
      <c r="T79" s="4">
        <v>4</v>
      </c>
      <c r="U79" s="5" t="s">
        <v>380</v>
      </c>
      <c r="V79" s="5" t="s">
        <v>380</v>
      </c>
      <c r="W79" s="5" t="s">
        <v>858</v>
      </c>
      <c r="X79" s="5" t="s">
        <v>858</v>
      </c>
      <c r="Y79" s="4">
        <v>183</v>
      </c>
      <c r="Z79" s="4">
        <v>171</v>
      </c>
      <c r="AA79" s="4">
        <v>456</v>
      </c>
      <c r="AB79" s="4">
        <v>1</v>
      </c>
      <c r="AC79" s="4">
        <v>6</v>
      </c>
      <c r="AD79" s="4">
        <v>6</v>
      </c>
      <c r="AE79" s="4">
        <v>25</v>
      </c>
      <c r="AF79" s="4">
        <v>1</v>
      </c>
      <c r="AG79" s="4">
        <v>9</v>
      </c>
      <c r="AH79" s="4">
        <v>2</v>
      </c>
      <c r="AI79" s="4">
        <v>3</v>
      </c>
      <c r="AJ79" s="4">
        <v>5</v>
      </c>
      <c r="AK79" s="4">
        <v>15</v>
      </c>
      <c r="AL79" s="4">
        <v>0</v>
      </c>
      <c r="AM79" s="4">
        <v>5</v>
      </c>
      <c r="AN79" s="4">
        <v>0</v>
      </c>
      <c r="AO79" s="4">
        <v>0</v>
      </c>
      <c r="AP79" s="3" t="s">
        <v>61</v>
      </c>
      <c r="AQ79" s="3" t="s">
        <v>59</v>
      </c>
      <c r="AR79" s="6" t="str">
        <f>HYPERLINK("http://catalog.hathitrust.org/Record/006024099","HathiTrust Record")</f>
        <v>HathiTrust Record</v>
      </c>
      <c r="AS79" s="6" t="str">
        <f>HYPERLINK("https://creighton-primo.hosted.exlibrisgroup.com/primo-explore/search?tab=default_tab&amp;search_scope=EVERYTHING&amp;vid=01CRU&amp;lang=en_US&amp;offset=0&amp;query=any,contains,991003193449702656","Catalog Record")</f>
        <v>Catalog Record</v>
      </c>
      <c r="AT79" s="6" t="str">
        <f>HYPERLINK("http://www.worldcat.org/oclc/718397","WorldCat Record")</f>
        <v>WorldCat Record</v>
      </c>
      <c r="AU79" s="3" t="s">
        <v>859</v>
      </c>
      <c r="AV79" s="3" t="s">
        <v>860</v>
      </c>
      <c r="AW79" s="3" t="s">
        <v>861</v>
      </c>
      <c r="AX79" s="3" t="s">
        <v>861</v>
      </c>
      <c r="AY79" s="3" t="s">
        <v>862</v>
      </c>
      <c r="AZ79" s="3" t="s">
        <v>75</v>
      </c>
      <c r="BC79" s="3" t="s">
        <v>863</v>
      </c>
      <c r="BD79" s="3" t="s">
        <v>864</v>
      </c>
    </row>
    <row r="80" spans="1:56" ht="44.25" customHeight="1" x14ac:dyDescent="0.25">
      <c r="A80" s="7" t="s">
        <v>61</v>
      </c>
      <c r="B80" s="2" t="s">
        <v>865</v>
      </c>
      <c r="C80" s="2" t="s">
        <v>866</v>
      </c>
      <c r="D80" s="2" t="s">
        <v>867</v>
      </c>
      <c r="E80" s="3" t="s">
        <v>84</v>
      </c>
      <c r="F80" s="3" t="s">
        <v>59</v>
      </c>
      <c r="G80" s="3" t="s">
        <v>60</v>
      </c>
      <c r="H80" s="3" t="s">
        <v>61</v>
      </c>
      <c r="I80" s="3" t="s">
        <v>61</v>
      </c>
      <c r="J80" s="3" t="s">
        <v>62</v>
      </c>
      <c r="K80" s="2" t="s">
        <v>868</v>
      </c>
      <c r="L80" s="2" t="s">
        <v>869</v>
      </c>
      <c r="M80" s="3" t="s">
        <v>870</v>
      </c>
      <c r="O80" s="3" t="s">
        <v>114</v>
      </c>
      <c r="P80" s="3" t="s">
        <v>235</v>
      </c>
      <c r="Q80" s="2" t="s">
        <v>871</v>
      </c>
      <c r="R80" s="3" t="s">
        <v>68</v>
      </c>
      <c r="S80" s="4">
        <v>1</v>
      </c>
      <c r="T80" s="4">
        <v>1</v>
      </c>
      <c r="U80" s="5" t="s">
        <v>872</v>
      </c>
      <c r="V80" s="5" t="s">
        <v>872</v>
      </c>
      <c r="W80" s="5" t="s">
        <v>872</v>
      </c>
      <c r="X80" s="5" t="s">
        <v>872</v>
      </c>
      <c r="Y80" s="4">
        <v>411</v>
      </c>
      <c r="Z80" s="4">
        <v>377</v>
      </c>
      <c r="AA80" s="4">
        <v>493</v>
      </c>
      <c r="AB80" s="4">
        <v>5</v>
      </c>
      <c r="AC80" s="4">
        <v>6</v>
      </c>
      <c r="AD80" s="4">
        <v>17</v>
      </c>
      <c r="AE80" s="4">
        <v>23</v>
      </c>
      <c r="AF80" s="4">
        <v>4</v>
      </c>
      <c r="AG80" s="4">
        <v>5</v>
      </c>
      <c r="AH80" s="4">
        <v>3</v>
      </c>
      <c r="AI80" s="4">
        <v>5</v>
      </c>
      <c r="AJ80" s="4">
        <v>10</v>
      </c>
      <c r="AK80" s="4">
        <v>14</v>
      </c>
      <c r="AL80" s="4">
        <v>5</v>
      </c>
      <c r="AM80" s="4">
        <v>5</v>
      </c>
      <c r="AN80" s="4">
        <v>0</v>
      </c>
      <c r="AO80" s="4">
        <v>0</v>
      </c>
      <c r="AP80" s="3" t="s">
        <v>61</v>
      </c>
      <c r="AQ80" s="3" t="s">
        <v>59</v>
      </c>
      <c r="AR80" s="6" t="str">
        <f>HYPERLINK("http://catalog.hathitrust.org/Record/007120834","HathiTrust Record")</f>
        <v>HathiTrust Record</v>
      </c>
      <c r="AS80" s="6" t="str">
        <f>HYPERLINK("https://creighton-primo.hosted.exlibrisgroup.com/primo-explore/search?tab=default_tab&amp;search_scope=EVERYTHING&amp;vid=01CRU&amp;lang=en_US&amp;offset=0&amp;query=any,contains,991003613359702656","Catalog Record")</f>
        <v>Catalog Record</v>
      </c>
      <c r="AT80" s="6" t="str">
        <f>HYPERLINK("http://www.worldcat.org/oclc/4318126","WorldCat Record")</f>
        <v>WorldCat Record</v>
      </c>
      <c r="AU80" s="3" t="s">
        <v>873</v>
      </c>
      <c r="AV80" s="3" t="s">
        <v>874</v>
      </c>
      <c r="AW80" s="3" t="s">
        <v>875</v>
      </c>
      <c r="AX80" s="3" t="s">
        <v>875</v>
      </c>
      <c r="AY80" s="3" t="s">
        <v>876</v>
      </c>
      <c r="AZ80" s="3" t="s">
        <v>75</v>
      </c>
      <c r="BC80" s="3" t="s">
        <v>877</v>
      </c>
      <c r="BD80" s="3" t="s">
        <v>878</v>
      </c>
    </row>
    <row r="81" spans="1:56" ht="44.25" customHeight="1" x14ac:dyDescent="0.25">
      <c r="A81" s="7" t="s">
        <v>61</v>
      </c>
      <c r="B81" s="2" t="s">
        <v>879</v>
      </c>
      <c r="C81" s="2" t="s">
        <v>880</v>
      </c>
      <c r="D81" s="2" t="s">
        <v>881</v>
      </c>
      <c r="F81" s="3" t="s">
        <v>61</v>
      </c>
      <c r="G81" s="3" t="s">
        <v>60</v>
      </c>
      <c r="H81" s="3" t="s">
        <v>61</v>
      </c>
      <c r="I81" s="3" t="s">
        <v>61</v>
      </c>
      <c r="J81" s="3" t="s">
        <v>62</v>
      </c>
      <c r="K81" s="2" t="s">
        <v>882</v>
      </c>
      <c r="L81" s="2" t="s">
        <v>883</v>
      </c>
      <c r="M81" s="3" t="s">
        <v>884</v>
      </c>
      <c r="O81" s="3" t="s">
        <v>114</v>
      </c>
      <c r="P81" s="3" t="s">
        <v>235</v>
      </c>
      <c r="R81" s="3" t="s">
        <v>68</v>
      </c>
      <c r="S81" s="4">
        <v>2</v>
      </c>
      <c r="T81" s="4">
        <v>2</v>
      </c>
      <c r="U81" s="5" t="s">
        <v>885</v>
      </c>
      <c r="V81" s="5" t="s">
        <v>885</v>
      </c>
      <c r="W81" s="5" t="s">
        <v>886</v>
      </c>
      <c r="X81" s="5" t="s">
        <v>886</v>
      </c>
      <c r="Y81" s="4">
        <v>514</v>
      </c>
      <c r="Z81" s="4">
        <v>453</v>
      </c>
      <c r="AA81" s="4">
        <v>1047</v>
      </c>
      <c r="AB81" s="4">
        <v>4</v>
      </c>
      <c r="AC81" s="4">
        <v>10</v>
      </c>
      <c r="AD81" s="4">
        <v>23</v>
      </c>
      <c r="AE81" s="4">
        <v>41</v>
      </c>
      <c r="AF81" s="4">
        <v>7</v>
      </c>
      <c r="AG81" s="4">
        <v>15</v>
      </c>
      <c r="AH81" s="4">
        <v>6</v>
      </c>
      <c r="AI81" s="4">
        <v>8</v>
      </c>
      <c r="AJ81" s="4">
        <v>13</v>
      </c>
      <c r="AK81" s="4">
        <v>18</v>
      </c>
      <c r="AL81" s="4">
        <v>3</v>
      </c>
      <c r="AM81" s="4">
        <v>8</v>
      </c>
      <c r="AN81" s="4">
        <v>0</v>
      </c>
      <c r="AO81" s="4">
        <v>0</v>
      </c>
      <c r="AP81" s="3" t="s">
        <v>61</v>
      </c>
      <c r="AQ81" s="3" t="s">
        <v>59</v>
      </c>
      <c r="AR81" s="6" t="str">
        <f>HYPERLINK("http://catalog.hathitrust.org/Record/000628725","HathiTrust Record")</f>
        <v>HathiTrust Record</v>
      </c>
      <c r="AS81" s="6" t="str">
        <f>HYPERLINK("https://creighton-primo.hosted.exlibrisgroup.com/primo-explore/search?tab=default_tab&amp;search_scope=EVERYTHING&amp;vid=01CRU&amp;lang=en_US&amp;offset=0&amp;query=any,contains,991000137009702656","Catalog Record")</f>
        <v>Catalog Record</v>
      </c>
      <c r="AT81" s="6" t="str">
        <f>HYPERLINK("http://www.worldcat.org/oclc/56839","WorldCat Record")</f>
        <v>WorldCat Record</v>
      </c>
      <c r="AU81" s="3" t="s">
        <v>887</v>
      </c>
      <c r="AV81" s="3" t="s">
        <v>888</v>
      </c>
      <c r="AW81" s="3" t="s">
        <v>889</v>
      </c>
      <c r="AX81" s="3" t="s">
        <v>889</v>
      </c>
      <c r="AY81" s="3" t="s">
        <v>890</v>
      </c>
      <c r="AZ81" s="3" t="s">
        <v>75</v>
      </c>
      <c r="BC81" s="3" t="s">
        <v>891</v>
      </c>
      <c r="BD81" s="3" t="s">
        <v>892</v>
      </c>
    </row>
    <row r="82" spans="1:56" ht="44.25" customHeight="1" x14ac:dyDescent="0.25">
      <c r="A82" s="7" t="s">
        <v>61</v>
      </c>
      <c r="B82" s="2" t="s">
        <v>893</v>
      </c>
      <c r="C82" s="2" t="s">
        <v>894</v>
      </c>
      <c r="D82" s="2" t="s">
        <v>895</v>
      </c>
      <c r="F82" s="3" t="s">
        <v>61</v>
      </c>
      <c r="G82" s="3" t="s">
        <v>60</v>
      </c>
      <c r="H82" s="3" t="s">
        <v>61</v>
      </c>
      <c r="I82" s="3" t="s">
        <v>61</v>
      </c>
      <c r="J82" s="3" t="s">
        <v>62</v>
      </c>
      <c r="K82" s="2" t="s">
        <v>896</v>
      </c>
      <c r="L82" s="2" t="s">
        <v>897</v>
      </c>
      <c r="M82" s="3" t="s">
        <v>113</v>
      </c>
      <c r="N82" s="2" t="s">
        <v>898</v>
      </c>
      <c r="O82" s="3" t="s">
        <v>114</v>
      </c>
      <c r="P82" s="3" t="s">
        <v>235</v>
      </c>
      <c r="Q82" s="2" t="s">
        <v>899</v>
      </c>
      <c r="R82" s="3" t="s">
        <v>68</v>
      </c>
      <c r="S82" s="4">
        <v>6</v>
      </c>
      <c r="T82" s="4">
        <v>6</v>
      </c>
      <c r="U82" s="5" t="s">
        <v>900</v>
      </c>
      <c r="V82" s="5" t="s">
        <v>900</v>
      </c>
      <c r="W82" s="5" t="s">
        <v>901</v>
      </c>
      <c r="X82" s="5" t="s">
        <v>901</v>
      </c>
      <c r="Y82" s="4">
        <v>379</v>
      </c>
      <c r="Z82" s="4">
        <v>372</v>
      </c>
      <c r="AA82" s="4">
        <v>379</v>
      </c>
      <c r="AB82" s="4">
        <v>5</v>
      </c>
      <c r="AC82" s="4">
        <v>6</v>
      </c>
      <c r="AD82" s="4">
        <v>1</v>
      </c>
      <c r="AE82" s="4">
        <v>2</v>
      </c>
      <c r="AF82" s="4">
        <v>0</v>
      </c>
      <c r="AG82" s="4">
        <v>0</v>
      </c>
      <c r="AH82" s="4">
        <v>0</v>
      </c>
      <c r="AI82" s="4">
        <v>0</v>
      </c>
      <c r="AJ82" s="4">
        <v>0</v>
      </c>
      <c r="AK82" s="4">
        <v>0</v>
      </c>
      <c r="AL82" s="4">
        <v>1</v>
      </c>
      <c r="AM82" s="4">
        <v>2</v>
      </c>
      <c r="AN82" s="4">
        <v>0</v>
      </c>
      <c r="AO82" s="4">
        <v>0</v>
      </c>
      <c r="AP82" s="3" t="s">
        <v>61</v>
      </c>
      <c r="AQ82" s="3" t="s">
        <v>61</v>
      </c>
      <c r="AS82" s="6" t="str">
        <f>HYPERLINK("https://creighton-primo.hosted.exlibrisgroup.com/primo-explore/search?tab=default_tab&amp;search_scope=EVERYTHING&amp;vid=01CRU&amp;lang=en_US&amp;offset=0&amp;query=any,contains,991004161489702656","Catalog Record")</f>
        <v>Catalog Record</v>
      </c>
      <c r="AT82" s="6" t="str">
        <f>HYPERLINK("http://www.worldcat.org/oclc/711784","WorldCat Record")</f>
        <v>WorldCat Record</v>
      </c>
      <c r="AU82" s="3" t="s">
        <v>902</v>
      </c>
      <c r="AV82" s="3" t="s">
        <v>903</v>
      </c>
      <c r="AW82" s="3" t="s">
        <v>904</v>
      </c>
      <c r="AX82" s="3" t="s">
        <v>904</v>
      </c>
      <c r="AY82" s="3" t="s">
        <v>905</v>
      </c>
      <c r="AZ82" s="3" t="s">
        <v>75</v>
      </c>
      <c r="BC82" s="3" t="s">
        <v>906</v>
      </c>
      <c r="BD82" s="3" t="s">
        <v>907</v>
      </c>
    </row>
    <row r="83" spans="1:56" ht="44.25" customHeight="1" x14ac:dyDescent="0.25">
      <c r="A83" s="7" t="s">
        <v>61</v>
      </c>
      <c r="B83" s="2" t="s">
        <v>908</v>
      </c>
      <c r="C83" s="2" t="s">
        <v>909</v>
      </c>
      <c r="D83" s="2" t="s">
        <v>910</v>
      </c>
      <c r="F83" s="3" t="s">
        <v>61</v>
      </c>
      <c r="G83" s="3" t="s">
        <v>60</v>
      </c>
      <c r="H83" s="3" t="s">
        <v>61</v>
      </c>
      <c r="I83" s="3" t="s">
        <v>61</v>
      </c>
      <c r="J83" s="3" t="s">
        <v>62</v>
      </c>
      <c r="K83" s="2" t="s">
        <v>911</v>
      </c>
      <c r="L83" s="2" t="s">
        <v>912</v>
      </c>
      <c r="M83" s="3" t="s">
        <v>707</v>
      </c>
      <c r="O83" s="3" t="s">
        <v>114</v>
      </c>
      <c r="P83" s="3" t="s">
        <v>913</v>
      </c>
      <c r="Q83" s="2" t="s">
        <v>914</v>
      </c>
      <c r="R83" s="3" t="s">
        <v>68</v>
      </c>
      <c r="S83" s="4">
        <v>5</v>
      </c>
      <c r="T83" s="4">
        <v>5</v>
      </c>
      <c r="U83" s="5" t="s">
        <v>915</v>
      </c>
      <c r="V83" s="5" t="s">
        <v>915</v>
      </c>
      <c r="W83" s="5" t="s">
        <v>916</v>
      </c>
      <c r="X83" s="5" t="s">
        <v>916</v>
      </c>
      <c r="Y83" s="4">
        <v>1273</v>
      </c>
      <c r="Z83" s="4">
        <v>1126</v>
      </c>
      <c r="AA83" s="4">
        <v>1447</v>
      </c>
      <c r="AB83" s="4">
        <v>11</v>
      </c>
      <c r="AC83" s="4">
        <v>12</v>
      </c>
      <c r="AD83" s="4">
        <v>46</v>
      </c>
      <c r="AE83" s="4">
        <v>55</v>
      </c>
      <c r="AF83" s="4">
        <v>16</v>
      </c>
      <c r="AG83" s="4">
        <v>21</v>
      </c>
      <c r="AH83" s="4">
        <v>11</v>
      </c>
      <c r="AI83" s="4">
        <v>11</v>
      </c>
      <c r="AJ83" s="4">
        <v>19</v>
      </c>
      <c r="AK83" s="4">
        <v>23</v>
      </c>
      <c r="AL83" s="4">
        <v>9</v>
      </c>
      <c r="AM83" s="4">
        <v>10</v>
      </c>
      <c r="AN83" s="4">
        <v>1</v>
      </c>
      <c r="AO83" s="4">
        <v>2</v>
      </c>
      <c r="AP83" s="3" t="s">
        <v>61</v>
      </c>
      <c r="AQ83" s="3" t="s">
        <v>61</v>
      </c>
      <c r="AS83" s="6" t="str">
        <f>HYPERLINK("https://creighton-primo.hosted.exlibrisgroup.com/primo-explore/search?tab=default_tab&amp;search_scope=EVERYTHING&amp;vid=01CRU&amp;lang=en_US&amp;offset=0&amp;query=any,contains,991000053429702656","Catalog Record")</f>
        <v>Catalog Record</v>
      </c>
      <c r="AT83" s="6" t="str">
        <f>HYPERLINK("http://www.worldcat.org/oclc/8694271","WorldCat Record")</f>
        <v>WorldCat Record</v>
      </c>
      <c r="AU83" s="3" t="s">
        <v>917</v>
      </c>
      <c r="AV83" s="3" t="s">
        <v>918</v>
      </c>
      <c r="AW83" s="3" t="s">
        <v>919</v>
      </c>
      <c r="AX83" s="3" t="s">
        <v>919</v>
      </c>
      <c r="AY83" s="3" t="s">
        <v>920</v>
      </c>
      <c r="AZ83" s="3" t="s">
        <v>75</v>
      </c>
      <c r="BC83" s="3" t="s">
        <v>921</v>
      </c>
      <c r="BD83" s="3" t="s">
        <v>922</v>
      </c>
    </row>
    <row r="84" spans="1:56" ht="44.25" customHeight="1" x14ac:dyDescent="0.25">
      <c r="A84" s="7" t="s">
        <v>61</v>
      </c>
      <c r="B84" s="2" t="s">
        <v>923</v>
      </c>
      <c r="C84" s="2" t="s">
        <v>924</v>
      </c>
      <c r="D84" s="2" t="s">
        <v>925</v>
      </c>
      <c r="F84" s="3" t="s">
        <v>61</v>
      </c>
      <c r="G84" s="3" t="s">
        <v>60</v>
      </c>
      <c r="H84" s="3" t="s">
        <v>61</v>
      </c>
      <c r="I84" s="3" t="s">
        <v>61</v>
      </c>
      <c r="J84" s="3" t="s">
        <v>62</v>
      </c>
      <c r="K84" s="2" t="s">
        <v>926</v>
      </c>
      <c r="L84" s="2" t="s">
        <v>927</v>
      </c>
      <c r="M84" s="3" t="s">
        <v>884</v>
      </c>
      <c r="O84" s="3" t="s">
        <v>114</v>
      </c>
      <c r="P84" s="3" t="s">
        <v>192</v>
      </c>
      <c r="Q84" s="2" t="s">
        <v>928</v>
      </c>
      <c r="R84" s="3" t="s">
        <v>68</v>
      </c>
      <c r="S84" s="4">
        <v>5</v>
      </c>
      <c r="T84" s="4">
        <v>5</v>
      </c>
      <c r="U84" s="5" t="s">
        <v>929</v>
      </c>
      <c r="V84" s="5" t="s">
        <v>929</v>
      </c>
      <c r="W84" s="5" t="s">
        <v>117</v>
      </c>
      <c r="X84" s="5" t="s">
        <v>117</v>
      </c>
      <c r="Y84" s="4">
        <v>130</v>
      </c>
      <c r="Z84" s="4">
        <v>76</v>
      </c>
      <c r="AA84" s="4">
        <v>713</v>
      </c>
      <c r="AB84" s="4">
        <v>2</v>
      </c>
      <c r="AC84" s="4">
        <v>6</v>
      </c>
      <c r="AD84" s="4">
        <v>3</v>
      </c>
      <c r="AE84" s="4">
        <v>33</v>
      </c>
      <c r="AF84" s="4">
        <v>0</v>
      </c>
      <c r="AG84" s="4">
        <v>11</v>
      </c>
      <c r="AH84" s="4">
        <v>1</v>
      </c>
      <c r="AI84" s="4">
        <v>9</v>
      </c>
      <c r="AJ84" s="4">
        <v>1</v>
      </c>
      <c r="AK84" s="4">
        <v>18</v>
      </c>
      <c r="AL84" s="4">
        <v>1</v>
      </c>
      <c r="AM84" s="4">
        <v>5</v>
      </c>
      <c r="AN84" s="4">
        <v>0</v>
      </c>
      <c r="AO84" s="4">
        <v>0</v>
      </c>
      <c r="AP84" s="3" t="s">
        <v>61</v>
      </c>
      <c r="AQ84" s="3" t="s">
        <v>59</v>
      </c>
      <c r="AR84" s="6" t="str">
        <f>HYPERLINK("http://catalog.hathitrust.org/Record/010645952","HathiTrust Record")</f>
        <v>HathiTrust Record</v>
      </c>
      <c r="AS84" s="6" t="str">
        <f>HYPERLINK("https://creighton-primo.hosted.exlibrisgroup.com/primo-explore/search?tab=default_tab&amp;search_scope=EVERYTHING&amp;vid=01CRU&amp;lang=en_US&amp;offset=0&amp;query=any,contains,991005353099702656","Catalog Record")</f>
        <v>Catalog Record</v>
      </c>
      <c r="AT84" s="6" t="str">
        <f>HYPERLINK("http://www.worldcat.org/oclc/96056","WorldCat Record")</f>
        <v>WorldCat Record</v>
      </c>
      <c r="AU84" s="3" t="s">
        <v>930</v>
      </c>
      <c r="AV84" s="3" t="s">
        <v>931</v>
      </c>
      <c r="AW84" s="3" t="s">
        <v>932</v>
      </c>
      <c r="AX84" s="3" t="s">
        <v>932</v>
      </c>
      <c r="AY84" s="3" t="s">
        <v>933</v>
      </c>
      <c r="AZ84" s="3" t="s">
        <v>75</v>
      </c>
      <c r="BB84" s="3" t="s">
        <v>934</v>
      </c>
      <c r="BC84" s="3" t="s">
        <v>935</v>
      </c>
      <c r="BD84" s="3" t="s">
        <v>936</v>
      </c>
    </row>
    <row r="85" spans="1:56" ht="44.25" customHeight="1" x14ac:dyDescent="0.25">
      <c r="A85" s="7" t="s">
        <v>61</v>
      </c>
      <c r="B85" s="2" t="s">
        <v>937</v>
      </c>
      <c r="C85" s="2" t="s">
        <v>938</v>
      </c>
      <c r="D85" s="2" t="s">
        <v>939</v>
      </c>
      <c r="F85" s="3" t="s">
        <v>61</v>
      </c>
      <c r="G85" s="3" t="s">
        <v>60</v>
      </c>
      <c r="H85" s="3" t="s">
        <v>61</v>
      </c>
      <c r="I85" s="3" t="s">
        <v>61</v>
      </c>
      <c r="J85" s="3" t="s">
        <v>62</v>
      </c>
      <c r="K85" s="2" t="s">
        <v>940</v>
      </c>
      <c r="L85" s="2" t="s">
        <v>941</v>
      </c>
      <c r="M85" s="3" t="s">
        <v>942</v>
      </c>
      <c r="O85" s="3" t="s">
        <v>114</v>
      </c>
      <c r="P85" s="3" t="s">
        <v>192</v>
      </c>
      <c r="R85" s="3" t="s">
        <v>68</v>
      </c>
      <c r="S85" s="4">
        <v>1</v>
      </c>
      <c r="T85" s="4">
        <v>1</v>
      </c>
      <c r="U85" s="5" t="s">
        <v>915</v>
      </c>
      <c r="V85" s="5" t="s">
        <v>915</v>
      </c>
      <c r="W85" s="5" t="s">
        <v>131</v>
      </c>
      <c r="X85" s="5" t="s">
        <v>131</v>
      </c>
      <c r="Y85" s="4">
        <v>333</v>
      </c>
      <c r="Z85" s="4">
        <v>257</v>
      </c>
      <c r="AA85" s="4">
        <v>769</v>
      </c>
      <c r="AB85" s="4">
        <v>2</v>
      </c>
      <c r="AC85" s="4">
        <v>8</v>
      </c>
      <c r="AD85" s="4">
        <v>21</v>
      </c>
      <c r="AE85" s="4">
        <v>43</v>
      </c>
      <c r="AF85" s="4">
        <v>9</v>
      </c>
      <c r="AG85" s="4">
        <v>18</v>
      </c>
      <c r="AH85" s="4">
        <v>7</v>
      </c>
      <c r="AI85" s="4">
        <v>8</v>
      </c>
      <c r="AJ85" s="4">
        <v>12</v>
      </c>
      <c r="AK85" s="4">
        <v>22</v>
      </c>
      <c r="AL85" s="4">
        <v>1</v>
      </c>
      <c r="AM85" s="4">
        <v>7</v>
      </c>
      <c r="AN85" s="4">
        <v>0</v>
      </c>
      <c r="AO85" s="4">
        <v>0</v>
      </c>
      <c r="AP85" s="3" t="s">
        <v>61</v>
      </c>
      <c r="AQ85" s="3" t="s">
        <v>59</v>
      </c>
      <c r="AR85" s="6" t="str">
        <f>HYPERLINK("http://catalog.hathitrust.org/Record/000629811","HathiTrust Record")</f>
        <v>HathiTrust Record</v>
      </c>
      <c r="AS85" s="6" t="str">
        <f>HYPERLINK("https://creighton-primo.hosted.exlibrisgroup.com/primo-explore/search?tab=default_tab&amp;search_scope=EVERYTHING&amp;vid=01CRU&amp;lang=en_US&amp;offset=0&amp;query=any,contains,991003359809702656","Catalog Record")</f>
        <v>Catalog Record</v>
      </c>
      <c r="AT85" s="6" t="str">
        <f>HYPERLINK("http://www.worldcat.org/oclc/896003","WorldCat Record")</f>
        <v>WorldCat Record</v>
      </c>
      <c r="AU85" s="3" t="s">
        <v>943</v>
      </c>
      <c r="AV85" s="3" t="s">
        <v>944</v>
      </c>
      <c r="AW85" s="3" t="s">
        <v>945</v>
      </c>
      <c r="AX85" s="3" t="s">
        <v>945</v>
      </c>
      <c r="AY85" s="3" t="s">
        <v>946</v>
      </c>
      <c r="AZ85" s="3" t="s">
        <v>75</v>
      </c>
      <c r="BC85" s="3" t="s">
        <v>947</v>
      </c>
      <c r="BD85" s="3" t="s">
        <v>948</v>
      </c>
    </row>
    <row r="86" spans="1:56" ht="44.25" customHeight="1" x14ac:dyDescent="0.25">
      <c r="A86" s="7" t="s">
        <v>61</v>
      </c>
      <c r="B86" s="2" t="s">
        <v>949</v>
      </c>
      <c r="C86" s="2" t="s">
        <v>950</v>
      </c>
      <c r="D86" s="2" t="s">
        <v>951</v>
      </c>
      <c r="F86" s="3" t="s">
        <v>61</v>
      </c>
      <c r="G86" s="3" t="s">
        <v>60</v>
      </c>
      <c r="H86" s="3" t="s">
        <v>61</v>
      </c>
      <c r="I86" s="3" t="s">
        <v>61</v>
      </c>
      <c r="J86" s="3" t="s">
        <v>62</v>
      </c>
      <c r="K86" s="2" t="s">
        <v>952</v>
      </c>
      <c r="L86" s="2" t="s">
        <v>953</v>
      </c>
      <c r="M86" s="3" t="s">
        <v>178</v>
      </c>
      <c r="O86" s="3" t="s">
        <v>114</v>
      </c>
      <c r="P86" s="3" t="s">
        <v>235</v>
      </c>
      <c r="R86" s="3" t="s">
        <v>68</v>
      </c>
      <c r="S86" s="4">
        <v>5</v>
      </c>
      <c r="T86" s="4">
        <v>5</v>
      </c>
      <c r="U86" s="5" t="s">
        <v>954</v>
      </c>
      <c r="V86" s="5" t="s">
        <v>954</v>
      </c>
      <c r="W86" s="5" t="s">
        <v>131</v>
      </c>
      <c r="X86" s="5" t="s">
        <v>131</v>
      </c>
      <c r="Y86" s="4">
        <v>164</v>
      </c>
      <c r="Z86" s="4">
        <v>134</v>
      </c>
      <c r="AA86" s="4">
        <v>172</v>
      </c>
      <c r="AB86" s="4">
        <v>2</v>
      </c>
      <c r="AC86" s="4">
        <v>3</v>
      </c>
      <c r="AD86" s="4">
        <v>19</v>
      </c>
      <c r="AE86" s="4">
        <v>21</v>
      </c>
      <c r="AF86" s="4">
        <v>5</v>
      </c>
      <c r="AG86" s="4">
        <v>5</v>
      </c>
      <c r="AH86" s="4">
        <v>5</v>
      </c>
      <c r="AI86" s="4">
        <v>6</v>
      </c>
      <c r="AJ86" s="4">
        <v>14</v>
      </c>
      <c r="AK86" s="4">
        <v>15</v>
      </c>
      <c r="AL86" s="4">
        <v>0</v>
      </c>
      <c r="AM86" s="4">
        <v>1</v>
      </c>
      <c r="AN86" s="4">
        <v>0</v>
      </c>
      <c r="AO86" s="4">
        <v>0</v>
      </c>
      <c r="AP86" s="3" t="s">
        <v>59</v>
      </c>
      <c r="AQ86" s="3" t="s">
        <v>61</v>
      </c>
      <c r="AR86" s="6" t="str">
        <f>HYPERLINK("http://catalog.hathitrust.org/Record/005859949","HathiTrust Record")</f>
        <v>HathiTrust Record</v>
      </c>
      <c r="AS86" s="6" t="str">
        <f>HYPERLINK("https://creighton-primo.hosted.exlibrisgroup.com/primo-explore/search?tab=default_tab&amp;search_scope=EVERYTHING&amp;vid=01CRU&amp;lang=en_US&amp;offset=0&amp;query=any,contains,991004461909702656","Catalog Record")</f>
        <v>Catalog Record</v>
      </c>
      <c r="AT86" s="6" t="str">
        <f>HYPERLINK("http://www.worldcat.org/oclc/3545761","WorldCat Record")</f>
        <v>WorldCat Record</v>
      </c>
      <c r="AU86" s="3" t="s">
        <v>955</v>
      </c>
      <c r="AV86" s="3" t="s">
        <v>956</v>
      </c>
      <c r="AW86" s="3" t="s">
        <v>957</v>
      </c>
      <c r="AX86" s="3" t="s">
        <v>957</v>
      </c>
      <c r="AY86" s="3" t="s">
        <v>958</v>
      </c>
      <c r="AZ86" s="3" t="s">
        <v>75</v>
      </c>
      <c r="BC86" s="3" t="s">
        <v>959</v>
      </c>
      <c r="BD86" s="3" t="s">
        <v>960</v>
      </c>
    </row>
    <row r="87" spans="1:56" ht="44.25" customHeight="1" x14ac:dyDescent="0.25">
      <c r="A87" s="7" t="s">
        <v>61</v>
      </c>
      <c r="B87" s="2" t="s">
        <v>961</v>
      </c>
      <c r="C87" s="2" t="s">
        <v>962</v>
      </c>
      <c r="D87" s="2" t="s">
        <v>963</v>
      </c>
      <c r="F87" s="3" t="s">
        <v>61</v>
      </c>
      <c r="G87" s="3" t="s">
        <v>60</v>
      </c>
      <c r="H87" s="3" t="s">
        <v>61</v>
      </c>
      <c r="I87" s="3" t="s">
        <v>61</v>
      </c>
      <c r="J87" s="3" t="s">
        <v>62</v>
      </c>
      <c r="K87" s="2" t="s">
        <v>964</v>
      </c>
      <c r="L87" s="2" t="s">
        <v>965</v>
      </c>
      <c r="M87" s="3" t="s">
        <v>966</v>
      </c>
      <c r="N87" s="2" t="s">
        <v>967</v>
      </c>
      <c r="O87" s="3" t="s">
        <v>114</v>
      </c>
      <c r="P87" s="3" t="s">
        <v>192</v>
      </c>
      <c r="Q87" s="2" t="s">
        <v>968</v>
      </c>
      <c r="R87" s="3" t="s">
        <v>68</v>
      </c>
      <c r="S87" s="4">
        <v>3</v>
      </c>
      <c r="T87" s="4">
        <v>3</v>
      </c>
      <c r="U87" s="5" t="s">
        <v>969</v>
      </c>
      <c r="V87" s="5" t="s">
        <v>969</v>
      </c>
      <c r="W87" s="5" t="s">
        <v>131</v>
      </c>
      <c r="X87" s="5" t="s">
        <v>131</v>
      </c>
      <c r="Y87" s="4">
        <v>97</v>
      </c>
      <c r="Z87" s="4">
        <v>79</v>
      </c>
      <c r="AA87" s="4">
        <v>747</v>
      </c>
      <c r="AB87" s="4">
        <v>2</v>
      </c>
      <c r="AC87" s="4">
        <v>8</v>
      </c>
      <c r="AD87" s="4">
        <v>3</v>
      </c>
      <c r="AE87" s="4">
        <v>43</v>
      </c>
      <c r="AF87" s="4">
        <v>0</v>
      </c>
      <c r="AG87" s="4">
        <v>20</v>
      </c>
      <c r="AH87" s="4">
        <v>1</v>
      </c>
      <c r="AI87" s="4">
        <v>8</v>
      </c>
      <c r="AJ87" s="4">
        <v>2</v>
      </c>
      <c r="AK87" s="4">
        <v>17</v>
      </c>
      <c r="AL87" s="4">
        <v>1</v>
      </c>
      <c r="AM87" s="4">
        <v>7</v>
      </c>
      <c r="AN87" s="4">
        <v>0</v>
      </c>
      <c r="AO87" s="4">
        <v>0</v>
      </c>
      <c r="AP87" s="3" t="s">
        <v>61</v>
      </c>
      <c r="AQ87" s="3" t="s">
        <v>61</v>
      </c>
      <c r="AS87" s="6" t="str">
        <f>HYPERLINK("https://creighton-primo.hosted.exlibrisgroup.com/primo-explore/search?tab=default_tab&amp;search_scope=EVERYTHING&amp;vid=01CRU&amp;lang=en_US&amp;offset=0&amp;query=any,contains,991004836709702656","Catalog Record")</f>
        <v>Catalog Record</v>
      </c>
      <c r="AT87" s="6" t="str">
        <f>HYPERLINK("http://www.worldcat.org/oclc/5453155","WorldCat Record")</f>
        <v>WorldCat Record</v>
      </c>
      <c r="AU87" s="3" t="s">
        <v>970</v>
      </c>
      <c r="AV87" s="3" t="s">
        <v>971</v>
      </c>
      <c r="AW87" s="3" t="s">
        <v>972</v>
      </c>
      <c r="AX87" s="3" t="s">
        <v>972</v>
      </c>
      <c r="AY87" s="3" t="s">
        <v>973</v>
      </c>
      <c r="AZ87" s="3" t="s">
        <v>75</v>
      </c>
      <c r="BC87" s="3" t="s">
        <v>974</v>
      </c>
      <c r="BD87" s="3" t="s">
        <v>975</v>
      </c>
    </row>
    <row r="88" spans="1:56" ht="44.25" customHeight="1" x14ac:dyDescent="0.25">
      <c r="A88" s="7" t="s">
        <v>61</v>
      </c>
      <c r="B88" s="2" t="s">
        <v>976</v>
      </c>
      <c r="C88" s="2" t="s">
        <v>977</v>
      </c>
      <c r="D88" s="2" t="s">
        <v>978</v>
      </c>
      <c r="F88" s="3" t="s">
        <v>61</v>
      </c>
      <c r="G88" s="3" t="s">
        <v>60</v>
      </c>
      <c r="H88" s="3" t="s">
        <v>61</v>
      </c>
      <c r="I88" s="3" t="s">
        <v>59</v>
      </c>
      <c r="J88" s="3" t="s">
        <v>62</v>
      </c>
      <c r="K88" s="2" t="s">
        <v>979</v>
      </c>
      <c r="L88" s="2" t="s">
        <v>980</v>
      </c>
      <c r="M88" s="3" t="s">
        <v>707</v>
      </c>
      <c r="N88" s="2" t="s">
        <v>981</v>
      </c>
      <c r="O88" s="3" t="s">
        <v>114</v>
      </c>
      <c r="P88" s="3" t="s">
        <v>192</v>
      </c>
      <c r="Q88" s="2" t="s">
        <v>982</v>
      </c>
      <c r="R88" s="3" t="s">
        <v>68</v>
      </c>
      <c r="S88" s="4">
        <v>1</v>
      </c>
      <c r="T88" s="4">
        <v>1</v>
      </c>
      <c r="U88" s="5" t="s">
        <v>983</v>
      </c>
      <c r="V88" s="5" t="s">
        <v>983</v>
      </c>
      <c r="W88" s="5" t="s">
        <v>131</v>
      </c>
      <c r="X88" s="5" t="s">
        <v>131</v>
      </c>
      <c r="Y88" s="4">
        <v>295</v>
      </c>
      <c r="Z88" s="4">
        <v>200</v>
      </c>
      <c r="AA88" s="4">
        <v>747</v>
      </c>
      <c r="AB88" s="4">
        <v>3</v>
      </c>
      <c r="AC88" s="4">
        <v>8</v>
      </c>
      <c r="AD88" s="4">
        <v>8</v>
      </c>
      <c r="AE88" s="4">
        <v>32</v>
      </c>
      <c r="AF88" s="4">
        <v>1</v>
      </c>
      <c r="AG88" s="4">
        <v>10</v>
      </c>
      <c r="AH88" s="4">
        <v>2</v>
      </c>
      <c r="AI88" s="4">
        <v>10</v>
      </c>
      <c r="AJ88" s="4">
        <v>5</v>
      </c>
      <c r="AK88" s="4">
        <v>15</v>
      </c>
      <c r="AL88" s="4">
        <v>2</v>
      </c>
      <c r="AM88" s="4">
        <v>6</v>
      </c>
      <c r="AN88" s="4">
        <v>0</v>
      </c>
      <c r="AO88" s="4">
        <v>0</v>
      </c>
      <c r="AP88" s="3" t="s">
        <v>61</v>
      </c>
      <c r="AQ88" s="3" t="s">
        <v>59</v>
      </c>
      <c r="AR88" s="6" t="str">
        <f>HYPERLINK("http://catalog.hathitrust.org/Record/000629896","HathiTrust Record")</f>
        <v>HathiTrust Record</v>
      </c>
      <c r="AS88" s="6" t="str">
        <f>HYPERLINK("https://creighton-primo.hosted.exlibrisgroup.com/primo-explore/search?tab=default_tab&amp;search_scope=EVERYTHING&amp;vid=01CRU&amp;lang=en_US&amp;offset=0&amp;query=any,contains,991003607379702656","Catalog Record")</f>
        <v>Catalog Record</v>
      </c>
      <c r="AT88" s="6" t="str">
        <f>HYPERLINK("http://www.worldcat.org/oclc/1188317","WorldCat Record")</f>
        <v>WorldCat Record</v>
      </c>
      <c r="AU88" s="3" t="s">
        <v>984</v>
      </c>
      <c r="AV88" s="3" t="s">
        <v>985</v>
      </c>
      <c r="AW88" s="3" t="s">
        <v>986</v>
      </c>
      <c r="AX88" s="3" t="s">
        <v>986</v>
      </c>
      <c r="AY88" s="3" t="s">
        <v>987</v>
      </c>
      <c r="AZ88" s="3" t="s">
        <v>75</v>
      </c>
      <c r="BC88" s="3" t="s">
        <v>988</v>
      </c>
      <c r="BD88" s="3" t="s">
        <v>989</v>
      </c>
    </row>
    <row r="89" spans="1:56" ht="44.25" customHeight="1" x14ac:dyDescent="0.25">
      <c r="A89" s="7" t="s">
        <v>61</v>
      </c>
      <c r="B89" s="2" t="s">
        <v>990</v>
      </c>
      <c r="C89" s="2" t="s">
        <v>991</v>
      </c>
      <c r="D89" s="2" t="s">
        <v>992</v>
      </c>
      <c r="F89" s="3" t="s">
        <v>61</v>
      </c>
      <c r="G89" s="3" t="s">
        <v>60</v>
      </c>
      <c r="H89" s="3" t="s">
        <v>61</v>
      </c>
      <c r="I89" s="3" t="s">
        <v>59</v>
      </c>
      <c r="J89" s="3" t="s">
        <v>62</v>
      </c>
      <c r="K89" s="2" t="s">
        <v>979</v>
      </c>
      <c r="L89" s="2" t="s">
        <v>993</v>
      </c>
      <c r="M89" s="3" t="s">
        <v>495</v>
      </c>
      <c r="O89" s="3" t="s">
        <v>114</v>
      </c>
      <c r="P89" s="3" t="s">
        <v>192</v>
      </c>
      <c r="R89" s="3" t="s">
        <v>68</v>
      </c>
      <c r="S89" s="4">
        <v>8</v>
      </c>
      <c r="T89" s="4">
        <v>8</v>
      </c>
      <c r="U89" s="5" t="s">
        <v>994</v>
      </c>
      <c r="V89" s="5" t="s">
        <v>994</v>
      </c>
      <c r="W89" s="5" t="s">
        <v>995</v>
      </c>
      <c r="X89" s="5" t="s">
        <v>995</v>
      </c>
      <c r="Y89" s="4">
        <v>236</v>
      </c>
      <c r="Z89" s="4">
        <v>185</v>
      </c>
      <c r="AA89" s="4">
        <v>747</v>
      </c>
      <c r="AB89" s="4">
        <v>2</v>
      </c>
      <c r="AC89" s="4">
        <v>8</v>
      </c>
      <c r="AD89" s="4">
        <v>7</v>
      </c>
      <c r="AE89" s="4">
        <v>32</v>
      </c>
      <c r="AF89" s="4">
        <v>3</v>
      </c>
      <c r="AG89" s="4">
        <v>10</v>
      </c>
      <c r="AH89" s="4">
        <v>3</v>
      </c>
      <c r="AI89" s="4">
        <v>10</v>
      </c>
      <c r="AJ89" s="4">
        <v>4</v>
      </c>
      <c r="AK89" s="4">
        <v>15</v>
      </c>
      <c r="AL89" s="4">
        <v>0</v>
      </c>
      <c r="AM89" s="4">
        <v>6</v>
      </c>
      <c r="AN89" s="4">
        <v>0</v>
      </c>
      <c r="AO89" s="4">
        <v>0</v>
      </c>
      <c r="AP89" s="3" t="s">
        <v>61</v>
      </c>
      <c r="AQ89" s="3" t="s">
        <v>61</v>
      </c>
      <c r="AS89" s="6" t="str">
        <f>HYPERLINK("https://creighton-primo.hosted.exlibrisgroup.com/primo-explore/search?tab=default_tab&amp;search_scope=EVERYTHING&amp;vid=01CRU&amp;lang=en_US&amp;offset=0&amp;query=any,contains,991002692889702656","Catalog Record")</f>
        <v>Catalog Record</v>
      </c>
      <c r="AT89" s="6" t="str">
        <f>HYPERLINK("http://www.worldcat.org/oclc/35172586","WorldCat Record")</f>
        <v>WorldCat Record</v>
      </c>
      <c r="AU89" s="3" t="s">
        <v>984</v>
      </c>
      <c r="AV89" s="3" t="s">
        <v>996</v>
      </c>
      <c r="AW89" s="3" t="s">
        <v>997</v>
      </c>
      <c r="AX89" s="3" t="s">
        <v>997</v>
      </c>
      <c r="AY89" s="3" t="s">
        <v>998</v>
      </c>
      <c r="AZ89" s="3" t="s">
        <v>75</v>
      </c>
      <c r="BB89" s="3" t="s">
        <v>999</v>
      </c>
      <c r="BC89" s="3" t="s">
        <v>1000</v>
      </c>
      <c r="BD89" s="3" t="s">
        <v>1001</v>
      </c>
    </row>
    <row r="90" spans="1:56" ht="44.25" customHeight="1" x14ac:dyDescent="0.25">
      <c r="A90" s="7" t="s">
        <v>61</v>
      </c>
      <c r="B90" s="2" t="s">
        <v>1002</v>
      </c>
      <c r="C90" s="2" t="s">
        <v>1003</v>
      </c>
      <c r="D90" s="2" t="s">
        <v>1004</v>
      </c>
      <c r="F90" s="3" t="s">
        <v>61</v>
      </c>
      <c r="G90" s="3" t="s">
        <v>60</v>
      </c>
      <c r="H90" s="3" t="s">
        <v>61</v>
      </c>
      <c r="I90" s="3" t="s">
        <v>61</v>
      </c>
      <c r="J90" s="3" t="s">
        <v>62</v>
      </c>
      <c r="K90" s="2" t="s">
        <v>1005</v>
      </c>
      <c r="L90" s="2" t="s">
        <v>1006</v>
      </c>
      <c r="M90" s="3" t="s">
        <v>707</v>
      </c>
      <c r="O90" s="3" t="s">
        <v>114</v>
      </c>
      <c r="P90" s="3" t="s">
        <v>1007</v>
      </c>
      <c r="R90" s="3" t="s">
        <v>68</v>
      </c>
      <c r="S90" s="4">
        <v>9</v>
      </c>
      <c r="T90" s="4">
        <v>9</v>
      </c>
      <c r="U90" s="5" t="s">
        <v>994</v>
      </c>
      <c r="V90" s="5" t="s">
        <v>994</v>
      </c>
      <c r="W90" s="5" t="s">
        <v>131</v>
      </c>
      <c r="X90" s="5" t="s">
        <v>131</v>
      </c>
      <c r="Y90" s="4">
        <v>1150</v>
      </c>
      <c r="Z90" s="4">
        <v>1026</v>
      </c>
      <c r="AA90" s="4">
        <v>1124</v>
      </c>
      <c r="AB90" s="4">
        <v>8</v>
      </c>
      <c r="AC90" s="4">
        <v>9</v>
      </c>
      <c r="AD90" s="4">
        <v>44</v>
      </c>
      <c r="AE90" s="4">
        <v>48</v>
      </c>
      <c r="AF90" s="4">
        <v>19</v>
      </c>
      <c r="AG90" s="4">
        <v>21</v>
      </c>
      <c r="AH90" s="4">
        <v>6</v>
      </c>
      <c r="AI90" s="4">
        <v>6</v>
      </c>
      <c r="AJ90" s="4">
        <v>23</v>
      </c>
      <c r="AK90" s="4">
        <v>24</v>
      </c>
      <c r="AL90" s="4">
        <v>7</v>
      </c>
      <c r="AM90" s="4">
        <v>8</v>
      </c>
      <c r="AN90" s="4">
        <v>0</v>
      </c>
      <c r="AO90" s="4">
        <v>0</v>
      </c>
      <c r="AP90" s="3" t="s">
        <v>59</v>
      </c>
      <c r="AQ90" s="3" t="s">
        <v>61</v>
      </c>
      <c r="AR90" s="6" t="str">
        <f>HYPERLINK("http://catalog.hathitrust.org/Record/000630034","HathiTrust Record")</f>
        <v>HathiTrust Record</v>
      </c>
      <c r="AS90" s="6" t="str">
        <f>HYPERLINK("https://creighton-primo.hosted.exlibrisgroup.com/primo-explore/search?tab=default_tab&amp;search_scope=EVERYTHING&amp;vid=01CRU&amp;lang=en_US&amp;offset=0&amp;query=any,contains,991001206319702656","Catalog Record")</f>
        <v>Catalog Record</v>
      </c>
      <c r="AT90" s="6" t="str">
        <f>HYPERLINK("http://www.worldcat.org/oclc/192172","WorldCat Record")</f>
        <v>WorldCat Record</v>
      </c>
      <c r="AU90" s="3" t="s">
        <v>1008</v>
      </c>
      <c r="AV90" s="3" t="s">
        <v>1009</v>
      </c>
      <c r="AW90" s="3" t="s">
        <v>1010</v>
      </c>
      <c r="AX90" s="3" t="s">
        <v>1010</v>
      </c>
      <c r="AY90" s="3" t="s">
        <v>1011</v>
      </c>
      <c r="AZ90" s="3" t="s">
        <v>75</v>
      </c>
      <c r="BC90" s="3" t="s">
        <v>1012</v>
      </c>
      <c r="BD90" s="3" t="s">
        <v>1013</v>
      </c>
    </row>
    <row r="91" spans="1:56" ht="44.25" customHeight="1" x14ac:dyDescent="0.25">
      <c r="A91" s="7" t="s">
        <v>61</v>
      </c>
      <c r="B91" s="2" t="s">
        <v>1014</v>
      </c>
      <c r="C91" s="2" t="s">
        <v>1015</v>
      </c>
      <c r="D91" s="2" t="s">
        <v>1016</v>
      </c>
      <c r="F91" s="3" t="s">
        <v>61</v>
      </c>
      <c r="G91" s="3" t="s">
        <v>60</v>
      </c>
      <c r="H91" s="3" t="s">
        <v>61</v>
      </c>
      <c r="I91" s="3" t="s">
        <v>61</v>
      </c>
      <c r="J91" s="3" t="s">
        <v>62</v>
      </c>
      <c r="K91" s="2" t="s">
        <v>1017</v>
      </c>
      <c r="L91" s="2" t="s">
        <v>1018</v>
      </c>
      <c r="M91" s="3" t="s">
        <v>884</v>
      </c>
      <c r="O91" s="3" t="s">
        <v>114</v>
      </c>
      <c r="P91" s="3" t="s">
        <v>235</v>
      </c>
      <c r="R91" s="3" t="s">
        <v>68</v>
      </c>
      <c r="S91" s="4">
        <v>6</v>
      </c>
      <c r="T91" s="4">
        <v>6</v>
      </c>
      <c r="U91" s="5" t="s">
        <v>1019</v>
      </c>
      <c r="V91" s="5" t="s">
        <v>1019</v>
      </c>
      <c r="W91" s="5" t="s">
        <v>709</v>
      </c>
      <c r="X91" s="5" t="s">
        <v>709</v>
      </c>
      <c r="Y91" s="4">
        <v>306</v>
      </c>
      <c r="Z91" s="4">
        <v>282</v>
      </c>
      <c r="AA91" s="4">
        <v>470</v>
      </c>
      <c r="AB91" s="4">
        <v>5</v>
      </c>
      <c r="AC91" s="4">
        <v>7</v>
      </c>
      <c r="AD91" s="4">
        <v>17</v>
      </c>
      <c r="AE91" s="4">
        <v>29</v>
      </c>
      <c r="AF91" s="4">
        <v>3</v>
      </c>
      <c r="AG91" s="4">
        <v>10</v>
      </c>
      <c r="AH91" s="4">
        <v>2</v>
      </c>
      <c r="AI91" s="4">
        <v>4</v>
      </c>
      <c r="AJ91" s="4">
        <v>11</v>
      </c>
      <c r="AK91" s="4">
        <v>18</v>
      </c>
      <c r="AL91" s="4">
        <v>4</v>
      </c>
      <c r="AM91" s="4">
        <v>6</v>
      </c>
      <c r="AN91" s="4">
        <v>0</v>
      </c>
      <c r="AO91" s="4">
        <v>0</v>
      </c>
      <c r="AP91" s="3" t="s">
        <v>61</v>
      </c>
      <c r="AQ91" s="3" t="s">
        <v>59</v>
      </c>
      <c r="AR91" s="6" t="str">
        <f>HYPERLINK("http://catalog.hathitrust.org/Record/000630041","HathiTrust Record")</f>
        <v>HathiTrust Record</v>
      </c>
      <c r="AS91" s="6" t="str">
        <f>HYPERLINK("https://creighton-primo.hosted.exlibrisgroup.com/primo-explore/search?tab=default_tab&amp;search_scope=EVERYTHING&amp;vid=01CRU&amp;lang=en_US&amp;offset=0&amp;query=any,contains,991000117789702656","Catalog Record")</f>
        <v>Catalog Record</v>
      </c>
      <c r="AT91" s="6" t="str">
        <f>HYPERLINK("http://www.worldcat.org/oclc/49387","WorldCat Record")</f>
        <v>WorldCat Record</v>
      </c>
      <c r="AU91" s="3" t="s">
        <v>1020</v>
      </c>
      <c r="AV91" s="3" t="s">
        <v>1021</v>
      </c>
      <c r="AW91" s="3" t="s">
        <v>1022</v>
      </c>
      <c r="AX91" s="3" t="s">
        <v>1022</v>
      </c>
      <c r="AY91" s="3" t="s">
        <v>1023</v>
      </c>
      <c r="AZ91" s="3" t="s">
        <v>75</v>
      </c>
      <c r="BB91" s="3" t="s">
        <v>1024</v>
      </c>
      <c r="BC91" s="3" t="s">
        <v>1025</v>
      </c>
      <c r="BD91" s="3" t="s">
        <v>1026</v>
      </c>
    </row>
    <row r="92" spans="1:56" ht="44.25" customHeight="1" x14ac:dyDescent="0.25">
      <c r="A92" s="7" t="s">
        <v>61</v>
      </c>
      <c r="B92" s="2" t="s">
        <v>1027</v>
      </c>
      <c r="C92" s="2" t="s">
        <v>1028</v>
      </c>
      <c r="D92" s="2" t="s">
        <v>1029</v>
      </c>
      <c r="F92" s="3" t="s">
        <v>61</v>
      </c>
      <c r="G92" s="3" t="s">
        <v>60</v>
      </c>
      <c r="H92" s="3" t="s">
        <v>61</v>
      </c>
      <c r="I92" s="3" t="s">
        <v>61</v>
      </c>
      <c r="J92" s="3" t="s">
        <v>62</v>
      </c>
      <c r="K92" s="2" t="s">
        <v>1030</v>
      </c>
      <c r="L92" s="2" t="s">
        <v>1031</v>
      </c>
      <c r="M92" s="3" t="s">
        <v>1032</v>
      </c>
      <c r="O92" s="3" t="s">
        <v>114</v>
      </c>
      <c r="P92" s="3" t="s">
        <v>1033</v>
      </c>
      <c r="R92" s="3" t="s">
        <v>68</v>
      </c>
      <c r="S92" s="4">
        <v>4</v>
      </c>
      <c r="T92" s="4">
        <v>4</v>
      </c>
      <c r="U92" s="5" t="s">
        <v>452</v>
      </c>
      <c r="V92" s="5" t="s">
        <v>452</v>
      </c>
      <c r="W92" s="5" t="s">
        <v>1034</v>
      </c>
      <c r="X92" s="5" t="s">
        <v>1034</v>
      </c>
      <c r="Y92" s="4">
        <v>177</v>
      </c>
      <c r="Z92" s="4">
        <v>168</v>
      </c>
      <c r="AA92" s="4">
        <v>628</v>
      </c>
      <c r="AB92" s="4">
        <v>1</v>
      </c>
      <c r="AC92" s="4">
        <v>5</v>
      </c>
      <c r="AD92" s="4">
        <v>24</v>
      </c>
      <c r="AE92" s="4">
        <v>37</v>
      </c>
      <c r="AF92" s="4">
        <v>5</v>
      </c>
      <c r="AG92" s="4">
        <v>12</v>
      </c>
      <c r="AH92" s="4">
        <v>4</v>
      </c>
      <c r="AI92" s="4">
        <v>7</v>
      </c>
      <c r="AJ92" s="4">
        <v>22</v>
      </c>
      <c r="AK92" s="4">
        <v>23</v>
      </c>
      <c r="AL92" s="4">
        <v>0</v>
      </c>
      <c r="AM92" s="4">
        <v>4</v>
      </c>
      <c r="AN92" s="4">
        <v>0</v>
      </c>
      <c r="AO92" s="4">
        <v>0</v>
      </c>
      <c r="AP92" s="3" t="s">
        <v>61</v>
      </c>
      <c r="AQ92" s="3" t="s">
        <v>61</v>
      </c>
      <c r="AS92" s="6" t="str">
        <f>HYPERLINK("https://creighton-primo.hosted.exlibrisgroup.com/primo-explore/search?tab=default_tab&amp;search_scope=EVERYTHING&amp;vid=01CRU&amp;lang=en_US&amp;offset=0&amp;query=any,contains,991004036199702656","Catalog Record")</f>
        <v>Catalog Record</v>
      </c>
      <c r="AT92" s="6" t="str">
        <f>HYPERLINK("http://www.worldcat.org/oclc/2170791","WorldCat Record")</f>
        <v>WorldCat Record</v>
      </c>
      <c r="AU92" s="3" t="s">
        <v>1035</v>
      </c>
      <c r="AV92" s="3" t="s">
        <v>1036</v>
      </c>
      <c r="AW92" s="3" t="s">
        <v>1037</v>
      </c>
      <c r="AX92" s="3" t="s">
        <v>1037</v>
      </c>
      <c r="AY92" s="3" t="s">
        <v>1038</v>
      </c>
      <c r="AZ92" s="3" t="s">
        <v>75</v>
      </c>
      <c r="BC92" s="3" t="s">
        <v>1039</v>
      </c>
      <c r="BD92" s="3" t="s">
        <v>1040</v>
      </c>
    </row>
    <row r="93" spans="1:56" ht="44.25" customHeight="1" x14ac:dyDescent="0.25">
      <c r="A93" s="7" t="s">
        <v>61</v>
      </c>
      <c r="B93" s="2" t="s">
        <v>1041</v>
      </c>
      <c r="C93" s="2" t="s">
        <v>1042</v>
      </c>
      <c r="D93" s="2" t="s">
        <v>1043</v>
      </c>
      <c r="F93" s="3" t="s">
        <v>61</v>
      </c>
      <c r="G93" s="3" t="s">
        <v>60</v>
      </c>
      <c r="H93" s="3" t="s">
        <v>61</v>
      </c>
      <c r="I93" s="3" t="s">
        <v>61</v>
      </c>
      <c r="J93" s="3" t="s">
        <v>62</v>
      </c>
      <c r="K93" s="2" t="s">
        <v>1044</v>
      </c>
      <c r="L93" s="2" t="s">
        <v>1045</v>
      </c>
      <c r="M93" s="3" t="s">
        <v>1046</v>
      </c>
      <c r="O93" s="3" t="s">
        <v>114</v>
      </c>
      <c r="P93" s="3" t="s">
        <v>235</v>
      </c>
      <c r="Q93" s="2" t="s">
        <v>1047</v>
      </c>
      <c r="R93" s="3" t="s">
        <v>68</v>
      </c>
      <c r="S93" s="4">
        <v>8</v>
      </c>
      <c r="T93" s="4">
        <v>8</v>
      </c>
      <c r="U93" s="5" t="s">
        <v>1048</v>
      </c>
      <c r="V93" s="5" t="s">
        <v>1048</v>
      </c>
      <c r="W93" s="5" t="s">
        <v>117</v>
      </c>
      <c r="X93" s="5" t="s">
        <v>117</v>
      </c>
      <c r="Y93" s="4">
        <v>514</v>
      </c>
      <c r="Z93" s="4">
        <v>496</v>
      </c>
      <c r="AA93" s="4">
        <v>1136</v>
      </c>
      <c r="AB93" s="4">
        <v>9</v>
      </c>
      <c r="AC93" s="4">
        <v>12</v>
      </c>
      <c r="AD93" s="4">
        <v>30</v>
      </c>
      <c r="AE93" s="4">
        <v>52</v>
      </c>
      <c r="AF93" s="4">
        <v>10</v>
      </c>
      <c r="AG93" s="4">
        <v>18</v>
      </c>
      <c r="AH93" s="4">
        <v>7</v>
      </c>
      <c r="AI93" s="4">
        <v>9</v>
      </c>
      <c r="AJ93" s="4">
        <v>13</v>
      </c>
      <c r="AK93" s="4">
        <v>25</v>
      </c>
      <c r="AL93" s="4">
        <v>8</v>
      </c>
      <c r="AM93" s="4">
        <v>11</v>
      </c>
      <c r="AN93" s="4">
        <v>0</v>
      </c>
      <c r="AO93" s="4">
        <v>0</v>
      </c>
      <c r="AP93" s="3" t="s">
        <v>61</v>
      </c>
      <c r="AQ93" s="3" t="s">
        <v>59</v>
      </c>
      <c r="AR93" s="6" t="str">
        <f>HYPERLINK("http://catalog.hathitrust.org/Record/000484612","HathiTrust Record")</f>
        <v>HathiTrust Record</v>
      </c>
      <c r="AS93" s="6" t="str">
        <f>HYPERLINK("https://creighton-primo.hosted.exlibrisgroup.com/primo-explore/search?tab=default_tab&amp;search_scope=EVERYTHING&amp;vid=01CRU&amp;lang=en_US&amp;offset=0&amp;query=any,contains,991003285309702656","Catalog Record")</f>
        <v>Catalog Record</v>
      </c>
      <c r="AT93" s="6" t="str">
        <f>HYPERLINK("http://www.worldcat.org/oclc/807170","WorldCat Record")</f>
        <v>WorldCat Record</v>
      </c>
      <c r="AU93" s="3" t="s">
        <v>1049</v>
      </c>
      <c r="AV93" s="3" t="s">
        <v>1050</v>
      </c>
      <c r="AW93" s="3" t="s">
        <v>1051</v>
      </c>
      <c r="AX93" s="3" t="s">
        <v>1051</v>
      </c>
      <c r="AY93" s="3" t="s">
        <v>1052</v>
      </c>
      <c r="AZ93" s="3" t="s">
        <v>75</v>
      </c>
      <c r="BC93" s="3" t="s">
        <v>1053</v>
      </c>
      <c r="BD93" s="3" t="s">
        <v>1054</v>
      </c>
    </row>
    <row r="94" spans="1:56" ht="44.25" customHeight="1" x14ac:dyDescent="0.25">
      <c r="A94" s="7" t="s">
        <v>61</v>
      </c>
      <c r="B94" s="2" t="s">
        <v>1055</v>
      </c>
      <c r="C94" s="2" t="s">
        <v>1056</v>
      </c>
      <c r="D94" s="2" t="s">
        <v>1057</v>
      </c>
      <c r="F94" s="3" t="s">
        <v>61</v>
      </c>
      <c r="G94" s="3" t="s">
        <v>60</v>
      </c>
      <c r="H94" s="3" t="s">
        <v>61</v>
      </c>
      <c r="I94" s="3" t="s">
        <v>61</v>
      </c>
      <c r="J94" s="3" t="s">
        <v>62</v>
      </c>
      <c r="K94" s="2" t="s">
        <v>1058</v>
      </c>
      <c r="L94" s="2" t="s">
        <v>1059</v>
      </c>
      <c r="M94" s="3" t="s">
        <v>1060</v>
      </c>
      <c r="O94" s="3" t="s">
        <v>114</v>
      </c>
      <c r="P94" s="3" t="s">
        <v>67</v>
      </c>
      <c r="Q94" s="2" t="s">
        <v>1061</v>
      </c>
      <c r="R94" s="3" t="s">
        <v>68</v>
      </c>
      <c r="S94" s="4">
        <v>3</v>
      </c>
      <c r="T94" s="4">
        <v>3</v>
      </c>
      <c r="U94" s="5" t="s">
        <v>1062</v>
      </c>
      <c r="V94" s="5" t="s">
        <v>1062</v>
      </c>
      <c r="W94" s="5" t="s">
        <v>131</v>
      </c>
      <c r="X94" s="5" t="s">
        <v>131</v>
      </c>
      <c r="Y94" s="4">
        <v>493</v>
      </c>
      <c r="Z94" s="4">
        <v>374</v>
      </c>
      <c r="AA94" s="4">
        <v>468</v>
      </c>
      <c r="AB94" s="4">
        <v>3</v>
      </c>
      <c r="AC94" s="4">
        <v>4</v>
      </c>
      <c r="AD94" s="4">
        <v>24</v>
      </c>
      <c r="AE94" s="4">
        <v>29</v>
      </c>
      <c r="AF94" s="4">
        <v>7</v>
      </c>
      <c r="AG94" s="4">
        <v>8</v>
      </c>
      <c r="AH94" s="4">
        <v>7</v>
      </c>
      <c r="AI94" s="4">
        <v>9</v>
      </c>
      <c r="AJ94" s="4">
        <v>17</v>
      </c>
      <c r="AK94" s="4">
        <v>19</v>
      </c>
      <c r="AL94" s="4">
        <v>2</v>
      </c>
      <c r="AM94" s="4">
        <v>3</v>
      </c>
      <c r="AN94" s="4">
        <v>0</v>
      </c>
      <c r="AO94" s="4">
        <v>0</v>
      </c>
      <c r="AP94" s="3" t="s">
        <v>61</v>
      </c>
      <c r="AQ94" s="3" t="s">
        <v>59</v>
      </c>
      <c r="AR94" s="6" t="str">
        <f>HYPERLINK("http://catalog.hathitrust.org/Record/000630526","HathiTrust Record")</f>
        <v>HathiTrust Record</v>
      </c>
      <c r="AS94" s="6" t="str">
        <f>HYPERLINK("https://creighton-primo.hosted.exlibrisgroup.com/primo-explore/search?tab=default_tab&amp;search_scope=EVERYTHING&amp;vid=01CRU&amp;lang=en_US&amp;offset=0&amp;query=any,contains,991003193509702656","Catalog Record")</f>
        <v>Catalog Record</v>
      </c>
      <c r="AT94" s="6" t="str">
        <f>HYPERLINK("http://www.worldcat.org/oclc/718425","WorldCat Record")</f>
        <v>WorldCat Record</v>
      </c>
      <c r="AU94" s="3" t="s">
        <v>1063</v>
      </c>
      <c r="AV94" s="3" t="s">
        <v>1064</v>
      </c>
      <c r="AW94" s="3" t="s">
        <v>1065</v>
      </c>
      <c r="AX94" s="3" t="s">
        <v>1065</v>
      </c>
      <c r="AY94" s="3" t="s">
        <v>1066</v>
      </c>
      <c r="AZ94" s="3" t="s">
        <v>75</v>
      </c>
      <c r="BC94" s="3" t="s">
        <v>1067</v>
      </c>
      <c r="BD94" s="3" t="s">
        <v>1068</v>
      </c>
    </row>
    <row r="95" spans="1:56" ht="44.25" customHeight="1" x14ac:dyDescent="0.25">
      <c r="A95" s="7" t="s">
        <v>61</v>
      </c>
      <c r="B95" s="2" t="s">
        <v>1069</v>
      </c>
      <c r="C95" s="2" t="s">
        <v>1070</v>
      </c>
      <c r="D95" s="2" t="s">
        <v>1071</v>
      </c>
      <c r="F95" s="3" t="s">
        <v>61</v>
      </c>
      <c r="G95" s="3" t="s">
        <v>60</v>
      </c>
      <c r="H95" s="3" t="s">
        <v>61</v>
      </c>
      <c r="I95" s="3" t="s">
        <v>59</v>
      </c>
      <c r="J95" s="3" t="s">
        <v>62</v>
      </c>
      <c r="K95" s="2" t="s">
        <v>1072</v>
      </c>
      <c r="L95" s="2" t="s">
        <v>1073</v>
      </c>
      <c r="M95" s="3" t="s">
        <v>1074</v>
      </c>
      <c r="N95" s="2" t="s">
        <v>1075</v>
      </c>
      <c r="O95" s="3" t="s">
        <v>114</v>
      </c>
      <c r="P95" s="3" t="s">
        <v>437</v>
      </c>
      <c r="R95" s="3" t="s">
        <v>68</v>
      </c>
      <c r="S95" s="4">
        <v>13</v>
      </c>
      <c r="T95" s="4">
        <v>13</v>
      </c>
      <c r="U95" s="5" t="s">
        <v>1076</v>
      </c>
      <c r="V95" s="5" t="s">
        <v>1076</v>
      </c>
      <c r="W95" s="5" t="s">
        <v>607</v>
      </c>
      <c r="X95" s="5" t="s">
        <v>607</v>
      </c>
      <c r="Y95" s="4">
        <v>999</v>
      </c>
      <c r="Z95" s="4">
        <v>834</v>
      </c>
      <c r="AA95" s="4">
        <v>2391</v>
      </c>
      <c r="AB95" s="4">
        <v>4</v>
      </c>
      <c r="AC95" s="4">
        <v>14</v>
      </c>
      <c r="AD95" s="4">
        <v>25</v>
      </c>
      <c r="AE95" s="4">
        <v>71</v>
      </c>
      <c r="AF95" s="4">
        <v>10</v>
      </c>
      <c r="AG95" s="4">
        <v>27</v>
      </c>
      <c r="AH95" s="4">
        <v>7</v>
      </c>
      <c r="AI95" s="4">
        <v>11</v>
      </c>
      <c r="AJ95" s="4">
        <v>13</v>
      </c>
      <c r="AK95" s="4">
        <v>27</v>
      </c>
      <c r="AL95" s="4">
        <v>2</v>
      </c>
      <c r="AM95" s="4">
        <v>11</v>
      </c>
      <c r="AN95" s="4">
        <v>1</v>
      </c>
      <c r="AO95" s="4">
        <v>9</v>
      </c>
      <c r="AP95" s="3" t="s">
        <v>61</v>
      </c>
      <c r="AQ95" s="3" t="s">
        <v>59</v>
      </c>
      <c r="AR95" s="6" t="str">
        <f>HYPERLINK("http://catalog.hathitrust.org/Record/000375915","HathiTrust Record")</f>
        <v>HathiTrust Record</v>
      </c>
      <c r="AS95" s="6" t="str">
        <f>HYPERLINK("https://creighton-primo.hosted.exlibrisgroup.com/primo-explore/search?tab=default_tab&amp;search_scope=EVERYTHING&amp;vid=01CRU&amp;lang=en_US&amp;offset=0&amp;query=any,contains,991000681389702656","Catalog Record")</f>
        <v>Catalog Record</v>
      </c>
      <c r="AT95" s="6" t="str">
        <f>HYPERLINK("http://www.worldcat.org/oclc/12398631","WorldCat Record")</f>
        <v>WorldCat Record</v>
      </c>
      <c r="AU95" s="3" t="s">
        <v>1077</v>
      </c>
      <c r="AV95" s="3" t="s">
        <v>1078</v>
      </c>
      <c r="AW95" s="3" t="s">
        <v>1079</v>
      </c>
      <c r="AX95" s="3" t="s">
        <v>1079</v>
      </c>
      <c r="AY95" s="3" t="s">
        <v>1080</v>
      </c>
      <c r="AZ95" s="3" t="s">
        <v>75</v>
      </c>
      <c r="BB95" s="3" t="s">
        <v>1081</v>
      </c>
      <c r="BC95" s="3" t="s">
        <v>1082</v>
      </c>
      <c r="BD95" s="3" t="s">
        <v>1083</v>
      </c>
    </row>
    <row r="96" spans="1:56" ht="44.25" customHeight="1" x14ac:dyDescent="0.25">
      <c r="A96" s="7" t="s">
        <v>61</v>
      </c>
      <c r="B96" s="2" t="s">
        <v>1084</v>
      </c>
      <c r="C96" s="2" t="s">
        <v>1085</v>
      </c>
      <c r="D96" s="2" t="s">
        <v>1086</v>
      </c>
      <c r="F96" s="3" t="s">
        <v>61</v>
      </c>
      <c r="G96" s="3" t="s">
        <v>60</v>
      </c>
      <c r="H96" s="3" t="s">
        <v>61</v>
      </c>
      <c r="I96" s="3" t="s">
        <v>61</v>
      </c>
      <c r="J96" s="3" t="s">
        <v>62</v>
      </c>
      <c r="K96" s="2" t="s">
        <v>1087</v>
      </c>
      <c r="L96" s="2" t="s">
        <v>1088</v>
      </c>
      <c r="M96" s="3" t="s">
        <v>870</v>
      </c>
      <c r="O96" s="3" t="s">
        <v>114</v>
      </c>
      <c r="P96" s="3" t="s">
        <v>235</v>
      </c>
      <c r="R96" s="3" t="s">
        <v>68</v>
      </c>
      <c r="S96" s="4">
        <v>1</v>
      </c>
      <c r="T96" s="4">
        <v>1</v>
      </c>
      <c r="U96" s="5" t="s">
        <v>1089</v>
      </c>
      <c r="V96" s="5" t="s">
        <v>1089</v>
      </c>
      <c r="W96" s="5" t="s">
        <v>1090</v>
      </c>
      <c r="X96" s="5" t="s">
        <v>1090</v>
      </c>
      <c r="Y96" s="4">
        <v>638</v>
      </c>
      <c r="Z96" s="4">
        <v>583</v>
      </c>
      <c r="AA96" s="4">
        <v>902</v>
      </c>
      <c r="AB96" s="4">
        <v>5</v>
      </c>
      <c r="AC96" s="4">
        <v>6</v>
      </c>
      <c r="AD96" s="4">
        <v>37</v>
      </c>
      <c r="AE96" s="4">
        <v>48</v>
      </c>
      <c r="AF96" s="4">
        <v>16</v>
      </c>
      <c r="AG96" s="4">
        <v>23</v>
      </c>
      <c r="AH96" s="4">
        <v>6</v>
      </c>
      <c r="AI96" s="4">
        <v>10</v>
      </c>
      <c r="AJ96" s="4">
        <v>20</v>
      </c>
      <c r="AK96" s="4">
        <v>23</v>
      </c>
      <c r="AL96" s="4">
        <v>4</v>
      </c>
      <c r="AM96" s="4">
        <v>5</v>
      </c>
      <c r="AN96" s="4">
        <v>0</v>
      </c>
      <c r="AO96" s="4">
        <v>0</v>
      </c>
      <c r="AP96" s="3" t="s">
        <v>61</v>
      </c>
      <c r="AQ96" s="3" t="s">
        <v>61</v>
      </c>
      <c r="AR96" s="6" t="str">
        <f>HYPERLINK("http://catalog.hathitrust.org/Record/000665257","HathiTrust Record")</f>
        <v>HathiTrust Record</v>
      </c>
      <c r="AS96" s="6" t="str">
        <f>HYPERLINK("https://creighton-primo.hosted.exlibrisgroup.com/primo-explore/search?tab=default_tab&amp;search_scope=EVERYTHING&amp;vid=01CRU&amp;lang=en_US&amp;offset=0&amp;query=any,contains,991003572059702656","Catalog Record")</f>
        <v>Catalog Record</v>
      </c>
      <c r="AT96" s="6" t="str">
        <f>HYPERLINK("http://www.worldcat.org/oclc/1147491","WorldCat Record")</f>
        <v>WorldCat Record</v>
      </c>
      <c r="AU96" s="3" t="s">
        <v>1091</v>
      </c>
      <c r="AV96" s="3" t="s">
        <v>1092</v>
      </c>
      <c r="AW96" s="3" t="s">
        <v>1093</v>
      </c>
      <c r="AX96" s="3" t="s">
        <v>1093</v>
      </c>
      <c r="AY96" s="3" t="s">
        <v>1094</v>
      </c>
      <c r="AZ96" s="3" t="s">
        <v>75</v>
      </c>
      <c r="BC96" s="3" t="s">
        <v>1095</v>
      </c>
      <c r="BD96" s="3" t="s">
        <v>1096</v>
      </c>
    </row>
    <row r="97" spans="1:56" ht="44.25" customHeight="1" x14ac:dyDescent="0.25">
      <c r="A97" s="7" t="s">
        <v>61</v>
      </c>
      <c r="B97" s="2" t="s">
        <v>1097</v>
      </c>
      <c r="C97" s="2" t="s">
        <v>1098</v>
      </c>
      <c r="D97" s="2" t="s">
        <v>1099</v>
      </c>
      <c r="F97" s="3" t="s">
        <v>61</v>
      </c>
      <c r="G97" s="3" t="s">
        <v>60</v>
      </c>
      <c r="H97" s="3" t="s">
        <v>61</v>
      </c>
      <c r="I97" s="3" t="s">
        <v>61</v>
      </c>
      <c r="J97" s="3" t="s">
        <v>62</v>
      </c>
      <c r="K97" s="2" t="s">
        <v>1100</v>
      </c>
      <c r="L97" s="2" t="s">
        <v>1101</v>
      </c>
      <c r="M97" s="3" t="s">
        <v>770</v>
      </c>
      <c r="O97" s="3" t="s">
        <v>114</v>
      </c>
      <c r="P97" s="3" t="s">
        <v>649</v>
      </c>
      <c r="R97" s="3" t="s">
        <v>68</v>
      </c>
      <c r="S97" s="4">
        <v>1</v>
      </c>
      <c r="T97" s="4">
        <v>1</v>
      </c>
      <c r="U97" s="5" t="s">
        <v>1076</v>
      </c>
      <c r="V97" s="5" t="s">
        <v>1076</v>
      </c>
      <c r="W97" s="5" t="s">
        <v>1090</v>
      </c>
      <c r="X97" s="5" t="s">
        <v>1090</v>
      </c>
      <c r="Y97" s="4">
        <v>403</v>
      </c>
      <c r="Z97" s="4">
        <v>337</v>
      </c>
      <c r="AA97" s="4">
        <v>343</v>
      </c>
      <c r="AB97" s="4">
        <v>5</v>
      </c>
      <c r="AC97" s="4">
        <v>5</v>
      </c>
      <c r="AD97" s="4">
        <v>13</v>
      </c>
      <c r="AE97" s="4">
        <v>13</v>
      </c>
      <c r="AF97" s="4">
        <v>4</v>
      </c>
      <c r="AG97" s="4">
        <v>4</v>
      </c>
      <c r="AH97" s="4">
        <v>2</v>
      </c>
      <c r="AI97" s="4">
        <v>2</v>
      </c>
      <c r="AJ97" s="4">
        <v>6</v>
      </c>
      <c r="AK97" s="4">
        <v>6</v>
      </c>
      <c r="AL97" s="4">
        <v>4</v>
      </c>
      <c r="AM97" s="4">
        <v>4</v>
      </c>
      <c r="AN97" s="4">
        <v>0</v>
      </c>
      <c r="AO97" s="4">
        <v>0</v>
      </c>
      <c r="AP97" s="3" t="s">
        <v>61</v>
      </c>
      <c r="AQ97" s="3" t="s">
        <v>59</v>
      </c>
      <c r="AR97" s="6" t="str">
        <f>HYPERLINK("http://catalog.hathitrust.org/Record/000022325","HathiTrust Record")</f>
        <v>HathiTrust Record</v>
      </c>
      <c r="AS97" s="6" t="str">
        <f>HYPERLINK("https://creighton-primo.hosted.exlibrisgroup.com/primo-explore/search?tab=default_tab&amp;search_scope=EVERYTHING&amp;vid=01CRU&amp;lang=en_US&amp;offset=0&amp;query=any,contains,991003502429702656","Catalog Record")</f>
        <v>Catalog Record</v>
      </c>
      <c r="AT97" s="6" t="str">
        <f>HYPERLINK("http://www.worldcat.org/oclc/1054363","WorldCat Record")</f>
        <v>WorldCat Record</v>
      </c>
      <c r="AU97" s="3" t="s">
        <v>1102</v>
      </c>
      <c r="AV97" s="3" t="s">
        <v>1103</v>
      </c>
      <c r="AW97" s="3" t="s">
        <v>1104</v>
      </c>
      <c r="AX97" s="3" t="s">
        <v>1104</v>
      </c>
      <c r="AY97" s="3" t="s">
        <v>1105</v>
      </c>
      <c r="AZ97" s="3" t="s">
        <v>75</v>
      </c>
      <c r="BB97" s="3" t="s">
        <v>1106</v>
      </c>
      <c r="BC97" s="3" t="s">
        <v>1107</v>
      </c>
      <c r="BD97" s="3" t="s">
        <v>1108</v>
      </c>
    </row>
    <row r="98" spans="1:56" ht="44.25" customHeight="1" x14ac:dyDescent="0.25">
      <c r="A98" s="7" t="s">
        <v>61</v>
      </c>
      <c r="B98" s="2" t="s">
        <v>1109</v>
      </c>
      <c r="C98" s="2" t="s">
        <v>1110</v>
      </c>
      <c r="D98" s="2" t="s">
        <v>1111</v>
      </c>
      <c r="F98" s="3" t="s">
        <v>61</v>
      </c>
      <c r="G98" s="3" t="s">
        <v>60</v>
      </c>
      <c r="H98" s="3" t="s">
        <v>61</v>
      </c>
      <c r="I98" s="3" t="s">
        <v>61</v>
      </c>
      <c r="J98" s="3" t="s">
        <v>62</v>
      </c>
      <c r="K98" s="2" t="s">
        <v>1112</v>
      </c>
      <c r="L98" s="2" t="s">
        <v>1113</v>
      </c>
      <c r="M98" s="3" t="s">
        <v>884</v>
      </c>
      <c r="O98" s="3" t="s">
        <v>114</v>
      </c>
      <c r="P98" s="3" t="s">
        <v>1114</v>
      </c>
      <c r="R98" s="3" t="s">
        <v>68</v>
      </c>
      <c r="S98" s="4">
        <v>2</v>
      </c>
      <c r="T98" s="4">
        <v>2</v>
      </c>
      <c r="U98" s="5" t="s">
        <v>1115</v>
      </c>
      <c r="V98" s="5" t="s">
        <v>1115</v>
      </c>
      <c r="W98" s="5" t="s">
        <v>1090</v>
      </c>
      <c r="X98" s="5" t="s">
        <v>1090</v>
      </c>
      <c r="Y98" s="4">
        <v>672</v>
      </c>
      <c r="Z98" s="4">
        <v>571</v>
      </c>
      <c r="AA98" s="4">
        <v>586</v>
      </c>
      <c r="AB98" s="4">
        <v>6</v>
      </c>
      <c r="AC98" s="4">
        <v>6</v>
      </c>
      <c r="AD98" s="4">
        <v>31</v>
      </c>
      <c r="AE98" s="4">
        <v>32</v>
      </c>
      <c r="AF98" s="4">
        <v>11</v>
      </c>
      <c r="AG98" s="4">
        <v>12</v>
      </c>
      <c r="AH98" s="4">
        <v>10</v>
      </c>
      <c r="AI98" s="4">
        <v>10</v>
      </c>
      <c r="AJ98" s="4">
        <v>14</v>
      </c>
      <c r="AK98" s="4">
        <v>14</v>
      </c>
      <c r="AL98" s="4">
        <v>5</v>
      </c>
      <c r="AM98" s="4">
        <v>5</v>
      </c>
      <c r="AN98" s="4">
        <v>0</v>
      </c>
      <c r="AO98" s="4">
        <v>0</v>
      </c>
      <c r="AP98" s="3" t="s">
        <v>61</v>
      </c>
      <c r="AQ98" s="3" t="s">
        <v>59</v>
      </c>
      <c r="AR98" s="6" t="str">
        <f>HYPERLINK("http://catalog.hathitrust.org/Record/000665281","HathiTrust Record")</f>
        <v>HathiTrust Record</v>
      </c>
      <c r="AS98" s="6" t="str">
        <f>HYPERLINK("https://creighton-primo.hosted.exlibrisgroup.com/primo-explore/search?tab=default_tab&amp;search_scope=EVERYTHING&amp;vid=01CRU&amp;lang=en_US&amp;offset=0&amp;query=any,contains,991000157969702656","Catalog Record")</f>
        <v>Catalog Record</v>
      </c>
      <c r="AT98" s="6" t="str">
        <f>HYPERLINK("http://www.worldcat.org/oclc/60588","WorldCat Record")</f>
        <v>WorldCat Record</v>
      </c>
      <c r="AU98" s="3" t="s">
        <v>1116</v>
      </c>
      <c r="AV98" s="3" t="s">
        <v>1117</v>
      </c>
      <c r="AW98" s="3" t="s">
        <v>1118</v>
      </c>
      <c r="AX98" s="3" t="s">
        <v>1118</v>
      </c>
      <c r="AY98" s="3" t="s">
        <v>1119</v>
      </c>
      <c r="AZ98" s="3" t="s">
        <v>75</v>
      </c>
      <c r="BB98" s="3" t="s">
        <v>1120</v>
      </c>
      <c r="BC98" s="3" t="s">
        <v>1121</v>
      </c>
      <c r="BD98" s="3" t="s">
        <v>1122</v>
      </c>
    </row>
    <row r="99" spans="1:56" ht="44.25" customHeight="1" x14ac:dyDescent="0.25">
      <c r="A99" s="7" t="s">
        <v>61</v>
      </c>
      <c r="B99" s="2" t="s">
        <v>1123</v>
      </c>
      <c r="C99" s="2" t="s">
        <v>1124</v>
      </c>
      <c r="D99" s="2" t="s">
        <v>1125</v>
      </c>
      <c r="F99" s="3" t="s">
        <v>61</v>
      </c>
      <c r="G99" s="3" t="s">
        <v>60</v>
      </c>
      <c r="H99" s="3" t="s">
        <v>61</v>
      </c>
      <c r="I99" s="3" t="s">
        <v>61</v>
      </c>
      <c r="J99" s="3" t="s">
        <v>62</v>
      </c>
      <c r="K99" s="2" t="s">
        <v>1126</v>
      </c>
      <c r="L99" s="2" t="s">
        <v>1127</v>
      </c>
      <c r="M99" s="3" t="s">
        <v>796</v>
      </c>
      <c r="O99" s="3" t="s">
        <v>114</v>
      </c>
      <c r="P99" s="3" t="s">
        <v>235</v>
      </c>
      <c r="Q99" s="2" t="s">
        <v>1128</v>
      </c>
      <c r="R99" s="3" t="s">
        <v>68</v>
      </c>
      <c r="S99" s="4">
        <v>5</v>
      </c>
      <c r="T99" s="4">
        <v>5</v>
      </c>
      <c r="U99" s="5" t="s">
        <v>1129</v>
      </c>
      <c r="V99" s="5" t="s">
        <v>1129</v>
      </c>
      <c r="W99" s="5" t="s">
        <v>1130</v>
      </c>
      <c r="X99" s="5" t="s">
        <v>1130</v>
      </c>
      <c r="Y99" s="4">
        <v>669</v>
      </c>
      <c r="Z99" s="4">
        <v>477</v>
      </c>
      <c r="AA99" s="4">
        <v>481</v>
      </c>
      <c r="AB99" s="4">
        <v>3</v>
      </c>
      <c r="AC99" s="4">
        <v>3</v>
      </c>
      <c r="AD99" s="4">
        <v>23</v>
      </c>
      <c r="AE99" s="4">
        <v>24</v>
      </c>
      <c r="AF99" s="4">
        <v>7</v>
      </c>
      <c r="AG99" s="4">
        <v>7</v>
      </c>
      <c r="AH99" s="4">
        <v>8</v>
      </c>
      <c r="AI99" s="4">
        <v>8</v>
      </c>
      <c r="AJ99" s="4">
        <v>13</v>
      </c>
      <c r="AK99" s="4">
        <v>14</v>
      </c>
      <c r="AL99" s="4">
        <v>2</v>
      </c>
      <c r="AM99" s="4">
        <v>2</v>
      </c>
      <c r="AN99" s="4">
        <v>0</v>
      </c>
      <c r="AO99" s="4">
        <v>0</v>
      </c>
      <c r="AP99" s="3" t="s">
        <v>61</v>
      </c>
      <c r="AQ99" s="3" t="s">
        <v>61</v>
      </c>
      <c r="AS99" s="6" t="str">
        <f>HYPERLINK("https://creighton-primo.hosted.exlibrisgroup.com/primo-explore/search?tab=default_tab&amp;search_scope=EVERYTHING&amp;vid=01CRU&amp;lang=en_US&amp;offset=0&amp;query=any,contains,991004482599702656","Catalog Record")</f>
        <v>Catalog Record</v>
      </c>
      <c r="AT99" s="6" t="str">
        <f>HYPERLINK("http://www.worldcat.org/oclc/16924269","WorldCat Record")</f>
        <v>WorldCat Record</v>
      </c>
      <c r="AU99" s="3" t="s">
        <v>1131</v>
      </c>
      <c r="AV99" s="3" t="s">
        <v>1132</v>
      </c>
      <c r="AW99" s="3" t="s">
        <v>1133</v>
      </c>
      <c r="AX99" s="3" t="s">
        <v>1133</v>
      </c>
      <c r="AY99" s="3" t="s">
        <v>1134</v>
      </c>
      <c r="AZ99" s="3" t="s">
        <v>75</v>
      </c>
      <c r="BB99" s="3" t="s">
        <v>1135</v>
      </c>
      <c r="BC99" s="3" t="s">
        <v>1136</v>
      </c>
      <c r="BD99" s="3" t="s">
        <v>1137</v>
      </c>
    </row>
    <row r="100" spans="1:56" ht="44.25" customHeight="1" x14ac:dyDescent="0.25">
      <c r="A100" s="7" t="s">
        <v>61</v>
      </c>
      <c r="B100" s="2" t="s">
        <v>1138</v>
      </c>
      <c r="C100" s="2" t="s">
        <v>1139</v>
      </c>
      <c r="D100" s="2" t="s">
        <v>1140</v>
      </c>
      <c r="F100" s="3" t="s">
        <v>61</v>
      </c>
      <c r="G100" s="3" t="s">
        <v>60</v>
      </c>
      <c r="H100" s="3" t="s">
        <v>61</v>
      </c>
      <c r="I100" s="3" t="s">
        <v>61</v>
      </c>
      <c r="J100" s="3" t="s">
        <v>62</v>
      </c>
      <c r="K100" s="2" t="s">
        <v>1141</v>
      </c>
      <c r="L100" s="2" t="s">
        <v>1142</v>
      </c>
      <c r="M100" s="3" t="s">
        <v>552</v>
      </c>
      <c r="N100" s="2" t="s">
        <v>634</v>
      </c>
      <c r="O100" s="3" t="s">
        <v>114</v>
      </c>
      <c r="P100" s="3" t="s">
        <v>235</v>
      </c>
      <c r="R100" s="3" t="s">
        <v>68</v>
      </c>
      <c r="S100" s="4">
        <v>3</v>
      </c>
      <c r="T100" s="4">
        <v>3</v>
      </c>
      <c r="U100" s="5" t="s">
        <v>1143</v>
      </c>
      <c r="V100" s="5" t="s">
        <v>1143</v>
      </c>
      <c r="W100" s="5" t="s">
        <v>1144</v>
      </c>
      <c r="X100" s="5" t="s">
        <v>1144</v>
      </c>
      <c r="Y100" s="4">
        <v>817</v>
      </c>
      <c r="Z100" s="4">
        <v>729</v>
      </c>
      <c r="AA100" s="4">
        <v>819</v>
      </c>
      <c r="AB100" s="4">
        <v>7</v>
      </c>
      <c r="AC100" s="4">
        <v>7</v>
      </c>
      <c r="AD100" s="4">
        <v>34</v>
      </c>
      <c r="AE100" s="4">
        <v>35</v>
      </c>
      <c r="AF100" s="4">
        <v>12</v>
      </c>
      <c r="AG100" s="4">
        <v>13</v>
      </c>
      <c r="AH100" s="4">
        <v>8</v>
      </c>
      <c r="AI100" s="4">
        <v>8</v>
      </c>
      <c r="AJ100" s="4">
        <v>20</v>
      </c>
      <c r="AK100" s="4">
        <v>21</v>
      </c>
      <c r="AL100" s="4">
        <v>5</v>
      </c>
      <c r="AM100" s="4">
        <v>5</v>
      </c>
      <c r="AN100" s="4">
        <v>0</v>
      </c>
      <c r="AO100" s="4">
        <v>0</v>
      </c>
      <c r="AP100" s="3" t="s">
        <v>61</v>
      </c>
      <c r="AQ100" s="3" t="s">
        <v>59</v>
      </c>
      <c r="AR100" s="6" t="str">
        <f>HYPERLINK("http://catalog.hathitrust.org/Record/001103428","HathiTrust Record")</f>
        <v>HathiTrust Record</v>
      </c>
      <c r="AS100" s="6" t="str">
        <f>HYPERLINK("https://creighton-primo.hosted.exlibrisgroup.com/primo-explore/search?tab=default_tab&amp;search_scope=EVERYTHING&amp;vid=01CRU&amp;lang=en_US&amp;offset=0&amp;query=any,contains,991001332799702656","Catalog Record")</f>
        <v>Catalog Record</v>
      </c>
      <c r="AT100" s="6" t="str">
        <f>HYPERLINK("http://www.worldcat.org/oclc/18326277","WorldCat Record")</f>
        <v>WorldCat Record</v>
      </c>
      <c r="AU100" s="3" t="s">
        <v>1145</v>
      </c>
      <c r="AV100" s="3" t="s">
        <v>1146</v>
      </c>
      <c r="AW100" s="3" t="s">
        <v>1147</v>
      </c>
      <c r="AX100" s="3" t="s">
        <v>1147</v>
      </c>
      <c r="AY100" s="3" t="s">
        <v>1148</v>
      </c>
      <c r="AZ100" s="3" t="s">
        <v>75</v>
      </c>
      <c r="BB100" s="3" t="s">
        <v>1149</v>
      </c>
      <c r="BC100" s="3" t="s">
        <v>1150</v>
      </c>
      <c r="BD100" s="3" t="s">
        <v>1151</v>
      </c>
    </row>
    <row r="101" spans="1:56" ht="44.25" customHeight="1" x14ac:dyDescent="0.25">
      <c r="A101" s="7" t="s">
        <v>61</v>
      </c>
      <c r="B101" s="2" t="s">
        <v>1152</v>
      </c>
      <c r="C101" s="2" t="s">
        <v>1153</v>
      </c>
      <c r="D101" s="2" t="s">
        <v>1154</v>
      </c>
      <c r="F101" s="3" t="s">
        <v>61</v>
      </c>
      <c r="G101" s="3" t="s">
        <v>60</v>
      </c>
      <c r="H101" s="3" t="s">
        <v>61</v>
      </c>
      <c r="I101" s="3" t="s">
        <v>61</v>
      </c>
      <c r="J101" s="3" t="s">
        <v>62</v>
      </c>
      <c r="K101" s="2" t="s">
        <v>1155</v>
      </c>
      <c r="L101" s="2" t="s">
        <v>1156</v>
      </c>
      <c r="M101" s="3" t="s">
        <v>605</v>
      </c>
      <c r="O101" s="3" t="s">
        <v>114</v>
      </c>
      <c r="P101" s="3" t="s">
        <v>192</v>
      </c>
      <c r="R101" s="3" t="s">
        <v>68</v>
      </c>
      <c r="S101" s="4">
        <v>5</v>
      </c>
      <c r="T101" s="4">
        <v>5</v>
      </c>
      <c r="U101" s="5" t="s">
        <v>1157</v>
      </c>
      <c r="V101" s="5" t="s">
        <v>1157</v>
      </c>
      <c r="W101" s="5" t="s">
        <v>1158</v>
      </c>
      <c r="X101" s="5" t="s">
        <v>1158</v>
      </c>
      <c r="Y101" s="4">
        <v>456</v>
      </c>
      <c r="Z101" s="4">
        <v>316</v>
      </c>
      <c r="AA101" s="4">
        <v>325</v>
      </c>
      <c r="AB101" s="4">
        <v>2</v>
      </c>
      <c r="AC101" s="4">
        <v>2</v>
      </c>
      <c r="AD101" s="4">
        <v>20</v>
      </c>
      <c r="AE101" s="4">
        <v>21</v>
      </c>
      <c r="AF101" s="4">
        <v>4</v>
      </c>
      <c r="AG101" s="4">
        <v>4</v>
      </c>
      <c r="AH101" s="4">
        <v>6</v>
      </c>
      <c r="AI101" s="4">
        <v>7</v>
      </c>
      <c r="AJ101" s="4">
        <v>13</v>
      </c>
      <c r="AK101" s="4">
        <v>14</v>
      </c>
      <c r="AL101" s="4">
        <v>1</v>
      </c>
      <c r="AM101" s="4">
        <v>1</v>
      </c>
      <c r="AN101" s="4">
        <v>0</v>
      </c>
      <c r="AO101" s="4">
        <v>0</v>
      </c>
      <c r="AP101" s="3" t="s">
        <v>61</v>
      </c>
      <c r="AQ101" s="3" t="s">
        <v>61</v>
      </c>
      <c r="AS101" s="6" t="str">
        <f>HYPERLINK("https://creighton-primo.hosted.exlibrisgroup.com/primo-explore/search?tab=default_tab&amp;search_scope=EVERYTHING&amp;vid=01CRU&amp;lang=en_US&amp;offset=0&amp;query=any,contains,991001826839702656","Catalog Record")</f>
        <v>Catalog Record</v>
      </c>
      <c r="AT101" s="6" t="str">
        <f>HYPERLINK("http://www.worldcat.org/oclc/22953162","WorldCat Record")</f>
        <v>WorldCat Record</v>
      </c>
      <c r="AU101" s="3" t="s">
        <v>1159</v>
      </c>
      <c r="AV101" s="3" t="s">
        <v>1160</v>
      </c>
      <c r="AW101" s="3" t="s">
        <v>1161</v>
      </c>
      <c r="AX101" s="3" t="s">
        <v>1161</v>
      </c>
      <c r="AY101" s="3" t="s">
        <v>1162</v>
      </c>
      <c r="AZ101" s="3" t="s">
        <v>75</v>
      </c>
      <c r="BB101" s="3" t="s">
        <v>1163</v>
      </c>
      <c r="BC101" s="3" t="s">
        <v>1164</v>
      </c>
      <c r="BD101" s="3" t="s">
        <v>1165</v>
      </c>
    </row>
    <row r="102" spans="1:56" ht="44.25" customHeight="1" x14ac:dyDescent="0.25">
      <c r="A102" s="7" t="s">
        <v>61</v>
      </c>
      <c r="B102" s="2" t="s">
        <v>1166</v>
      </c>
      <c r="C102" s="2" t="s">
        <v>1167</v>
      </c>
      <c r="D102" s="2" t="s">
        <v>1168</v>
      </c>
      <c r="F102" s="3" t="s">
        <v>61</v>
      </c>
      <c r="G102" s="3" t="s">
        <v>60</v>
      </c>
      <c r="H102" s="3" t="s">
        <v>61</v>
      </c>
      <c r="I102" s="3" t="s">
        <v>61</v>
      </c>
      <c r="J102" s="3" t="s">
        <v>62</v>
      </c>
      <c r="K102" s="2" t="s">
        <v>1169</v>
      </c>
      <c r="L102" s="2" t="s">
        <v>1170</v>
      </c>
      <c r="M102" s="3" t="s">
        <v>755</v>
      </c>
      <c r="O102" s="3" t="s">
        <v>114</v>
      </c>
      <c r="P102" s="3" t="s">
        <v>235</v>
      </c>
      <c r="R102" s="3" t="s">
        <v>68</v>
      </c>
      <c r="S102" s="4">
        <v>67</v>
      </c>
      <c r="T102" s="4">
        <v>67</v>
      </c>
      <c r="U102" s="5" t="s">
        <v>1171</v>
      </c>
      <c r="V102" s="5" t="s">
        <v>1171</v>
      </c>
      <c r="W102" s="5" t="s">
        <v>1172</v>
      </c>
      <c r="X102" s="5" t="s">
        <v>1172</v>
      </c>
      <c r="Y102" s="4">
        <v>488</v>
      </c>
      <c r="Z102" s="4">
        <v>430</v>
      </c>
      <c r="AA102" s="4">
        <v>464</v>
      </c>
      <c r="AB102" s="4">
        <v>2</v>
      </c>
      <c r="AC102" s="4">
        <v>2</v>
      </c>
      <c r="AD102" s="4">
        <v>19</v>
      </c>
      <c r="AE102" s="4">
        <v>21</v>
      </c>
      <c r="AF102" s="4">
        <v>9</v>
      </c>
      <c r="AG102" s="4">
        <v>10</v>
      </c>
      <c r="AH102" s="4">
        <v>4</v>
      </c>
      <c r="AI102" s="4">
        <v>4</v>
      </c>
      <c r="AJ102" s="4">
        <v>12</v>
      </c>
      <c r="AK102" s="4">
        <v>14</v>
      </c>
      <c r="AL102" s="4">
        <v>1</v>
      </c>
      <c r="AM102" s="4">
        <v>1</v>
      </c>
      <c r="AN102" s="4">
        <v>0</v>
      </c>
      <c r="AO102" s="4">
        <v>0</v>
      </c>
      <c r="AP102" s="3" t="s">
        <v>61</v>
      </c>
      <c r="AQ102" s="3" t="s">
        <v>59</v>
      </c>
      <c r="AR102" s="6" t="str">
        <f>HYPERLINK("http://catalog.hathitrust.org/Record/010062962","HathiTrust Record")</f>
        <v>HathiTrust Record</v>
      </c>
      <c r="AS102" s="6" t="str">
        <f>HYPERLINK("https://creighton-primo.hosted.exlibrisgroup.com/primo-explore/search?tab=default_tab&amp;search_scope=EVERYTHING&amp;vid=01CRU&amp;lang=en_US&amp;offset=0&amp;query=any,contains,991000815779702656","Catalog Record")</f>
        <v>Catalog Record</v>
      </c>
      <c r="AT102" s="6" t="str">
        <f>HYPERLINK("http://www.worldcat.org/oclc/142501","WorldCat Record")</f>
        <v>WorldCat Record</v>
      </c>
      <c r="AU102" s="3" t="s">
        <v>1173</v>
      </c>
      <c r="AV102" s="3" t="s">
        <v>1174</v>
      </c>
      <c r="AW102" s="3" t="s">
        <v>1175</v>
      </c>
      <c r="AX102" s="3" t="s">
        <v>1175</v>
      </c>
      <c r="AY102" s="3" t="s">
        <v>1176</v>
      </c>
      <c r="AZ102" s="3" t="s">
        <v>75</v>
      </c>
      <c r="BB102" s="3" t="s">
        <v>1177</v>
      </c>
      <c r="BC102" s="3" t="s">
        <v>1178</v>
      </c>
      <c r="BD102" s="3" t="s">
        <v>1179</v>
      </c>
    </row>
    <row r="103" spans="1:56" ht="44.25" customHeight="1" x14ac:dyDescent="0.25">
      <c r="A103" s="7" t="s">
        <v>61</v>
      </c>
      <c r="B103" s="2" t="s">
        <v>1180</v>
      </c>
      <c r="C103" s="2" t="s">
        <v>1181</v>
      </c>
      <c r="D103" s="2" t="s">
        <v>1182</v>
      </c>
      <c r="F103" s="3" t="s">
        <v>61</v>
      </c>
      <c r="G103" s="3" t="s">
        <v>60</v>
      </c>
      <c r="H103" s="3" t="s">
        <v>61</v>
      </c>
      <c r="I103" s="3" t="s">
        <v>61</v>
      </c>
      <c r="J103" s="3" t="s">
        <v>62</v>
      </c>
      <c r="K103" s="2" t="s">
        <v>1183</v>
      </c>
      <c r="L103" s="2" t="s">
        <v>1184</v>
      </c>
      <c r="M103" s="3" t="s">
        <v>1185</v>
      </c>
      <c r="O103" s="3" t="s">
        <v>114</v>
      </c>
      <c r="P103" s="3" t="s">
        <v>235</v>
      </c>
      <c r="Q103" s="2" t="s">
        <v>1186</v>
      </c>
      <c r="R103" s="3" t="s">
        <v>68</v>
      </c>
      <c r="S103" s="4">
        <v>1</v>
      </c>
      <c r="T103" s="4">
        <v>1</v>
      </c>
      <c r="U103" s="5" t="s">
        <v>1187</v>
      </c>
      <c r="V103" s="5" t="s">
        <v>1187</v>
      </c>
      <c r="W103" s="5" t="s">
        <v>1090</v>
      </c>
      <c r="X103" s="5" t="s">
        <v>1090</v>
      </c>
      <c r="Y103" s="4">
        <v>213</v>
      </c>
      <c r="Z103" s="4">
        <v>167</v>
      </c>
      <c r="AA103" s="4">
        <v>1039</v>
      </c>
      <c r="AB103" s="4">
        <v>1</v>
      </c>
      <c r="AC103" s="4">
        <v>8</v>
      </c>
      <c r="AD103" s="4">
        <v>6</v>
      </c>
      <c r="AE103" s="4">
        <v>52</v>
      </c>
      <c r="AF103" s="4">
        <v>0</v>
      </c>
      <c r="AG103" s="4">
        <v>23</v>
      </c>
      <c r="AH103" s="4">
        <v>2</v>
      </c>
      <c r="AI103" s="4">
        <v>10</v>
      </c>
      <c r="AJ103" s="4">
        <v>5</v>
      </c>
      <c r="AK103" s="4">
        <v>22</v>
      </c>
      <c r="AL103" s="4">
        <v>0</v>
      </c>
      <c r="AM103" s="4">
        <v>7</v>
      </c>
      <c r="AN103" s="4">
        <v>0</v>
      </c>
      <c r="AO103" s="4">
        <v>2</v>
      </c>
      <c r="AP103" s="3" t="s">
        <v>61</v>
      </c>
      <c r="AQ103" s="3" t="s">
        <v>61</v>
      </c>
      <c r="AR103" s="6" t="str">
        <f>HYPERLINK("http://catalog.hathitrust.org/Record/000666736","HathiTrust Record")</f>
        <v>HathiTrust Record</v>
      </c>
      <c r="AS103" s="6" t="str">
        <f>HYPERLINK("https://creighton-primo.hosted.exlibrisgroup.com/primo-explore/search?tab=default_tab&amp;search_scope=EVERYTHING&amp;vid=01CRU&amp;lang=en_US&amp;offset=0&amp;query=any,contains,991004538229702656","Catalog Record")</f>
        <v>Catalog Record</v>
      </c>
      <c r="AT103" s="6" t="str">
        <f>HYPERLINK("http://www.worldcat.org/oclc/3881354","WorldCat Record")</f>
        <v>WorldCat Record</v>
      </c>
      <c r="AU103" s="3" t="s">
        <v>1188</v>
      </c>
      <c r="AV103" s="3" t="s">
        <v>1189</v>
      </c>
      <c r="AW103" s="3" t="s">
        <v>1190</v>
      </c>
      <c r="AX103" s="3" t="s">
        <v>1190</v>
      </c>
      <c r="AY103" s="3" t="s">
        <v>1191</v>
      </c>
      <c r="AZ103" s="3" t="s">
        <v>75</v>
      </c>
      <c r="BC103" s="3" t="s">
        <v>1192</v>
      </c>
      <c r="BD103" s="3" t="s">
        <v>1193</v>
      </c>
    </row>
    <row r="104" spans="1:56" ht="44.25" customHeight="1" x14ac:dyDescent="0.25">
      <c r="A104" s="7" t="s">
        <v>61</v>
      </c>
      <c r="B104" s="2" t="s">
        <v>1194</v>
      </c>
      <c r="C104" s="2" t="s">
        <v>1195</v>
      </c>
      <c r="D104" s="2" t="s">
        <v>1196</v>
      </c>
      <c r="F104" s="3" t="s">
        <v>61</v>
      </c>
      <c r="G104" s="3" t="s">
        <v>60</v>
      </c>
      <c r="H104" s="3" t="s">
        <v>61</v>
      </c>
      <c r="I104" s="3" t="s">
        <v>61</v>
      </c>
      <c r="J104" s="3" t="s">
        <v>62</v>
      </c>
      <c r="K104" s="2" t="s">
        <v>1183</v>
      </c>
      <c r="L104" s="2" t="s">
        <v>1197</v>
      </c>
      <c r="M104" s="3" t="s">
        <v>1198</v>
      </c>
      <c r="O104" s="3" t="s">
        <v>114</v>
      </c>
      <c r="P104" s="3" t="s">
        <v>235</v>
      </c>
      <c r="R104" s="3" t="s">
        <v>68</v>
      </c>
      <c r="S104" s="4">
        <v>1</v>
      </c>
      <c r="T104" s="4">
        <v>1</v>
      </c>
      <c r="U104" s="5" t="s">
        <v>1199</v>
      </c>
      <c r="V104" s="5" t="s">
        <v>1199</v>
      </c>
      <c r="W104" s="5" t="s">
        <v>1090</v>
      </c>
      <c r="X104" s="5" t="s">
        <v>1090</v>
      </c>
      <c r="Y104" s="4">
        <v>690</v>
      </c>
      <c r="Z104" s="4">
        <v>612</v>
      </c>
      <c r="AA104" s="4">
        <v>646</v>
      </c>
      <c r="AB104" s="4">
        <v>4</v>
      </c>
      <c r="AC104" s="4">
        <v>4</v>
      </c>
      <c r="AD104" s="4">
        <v>31</v>
      </c>
      <c r="AE104" s="4">
        <v>31</v>
      </c>
      <c r="AF104" s="4">
        <v>11</v>
      </c>
      <c r="AG104" s="4">
        <v>11</v>
      </c>
      <c r="AH104" s="4">
        <v>6</v>
      </c>
      <c r="AI104" s="4">
        <v>6</v>
      </c>
      <c r="AJ104" s="4">
        <v>19</v>
      </c>
      <c r="AK104" s="4">
        <v>19</v>
      </c>
      <c r="AL104" s="4">
        <v>3</v>
      </c>
      <c r="AM104" s="4">
        <v>3</v>
      </c>
      <c r="AN104" s="4">
        <v>0</v>
      </c>
      <c r="AO104" s="4">
        <v>0</v>
      </c>
      <c r="AP104" s="3" t="s">
        <v>61</v>
      </c>
      <c r="AQ104" s="3" t="s">
        <v>61</v>
      </c>
      <c r="AS104" s="6" t="str">
        <f>HYPERLINK("https://creighton-primo.hosted.exlibrisgroup.com/primo-explore/search?tab=default_tab&amp;search_scope=EVERYTHING&amp;vid=01CRU&amp;lang=en_US&amp;offset=0&amp;query=any,contains,991002671029702656","Catalog Record")</f>
        <v>Catalog Record</v>
      </c>
      <c r="AT104" s="6" t="str">
        <f>HYPERLINK("http://www.worldcat.org/oclc/395138","WorldCat Record")</f>
        <v>WorldCat Record</v>
      </c>
      <c r="AU104" s="3" t="s">
        <v>1200</v>
      </c>
      <c r="AV104" s="3" t="s">
        <v>1201</v>
      </c>
      <c r="AW104" s="3" t="s">
        <v>1202</v>
      </c>
      <c r="AX104" s="3" t="s">
        <v>1202</v>
      </c>
      <c r="AY104" s="3" t="s">
        <v>1203</v>
      </c>
      <c r="AZ104" s="3" t="s">
        <v>75</v>
      </c>
      <c r="BC104" s="3" t="s">
        <v>1204</v>
      </c>
      <c r="BD104" s="3" t="s">
        <v>1205</v>
      </c>
    </row>
    <row r="105" spans="1:56" ht="44.25" customHeight="1" x14ac:dyDescent="0.25">
      <c r="A105" s="7" t="s">
        <v>61</v>
      </c>
      <c r="B105" s="2" t="s">
        <v>1206</v>
      </c>
      <c r="C105" s="2" t="s">
        <v>1207</v>
      </c>
      <c r="D105" s="2" t="s">
        <v>1208</v>
      </c>
      <c r="F105" s="3" t="s">
        <v>61</v>
      </c>
      <c r="G105" s="3" t="s">
        <v>60</v>
      </c>
      <c r="H105" s="3" t="s">
        <v>61</v>
      </c>
      <c r="I105" s="3" t="s">
        <v>61</v>
      </c>
      <c r="J105" s="3" t="s">
        <v>62</v>
      </c>
      <c r="K105" s="2" t="s">
        <v>1209</v>
      </c>
      <c r="L105" s="2" t="s">
        <v>1210</v>
      </c>
      <c r="M105" s="3" t="s">
        <v>1211</v>
      </c>
      <c r="N105" s="2" t="s">
        <v>306</v>
      </c>
      <c r="O105" s="3" t="s">
        <v>114</v>
      </c>
      <c r="P105" s="3" t="s">
        <v>1212</v>
      </c>
      <c r="R105" s="3" t="s">
        <v>68</v>
      </c>
      <c r="S105" s="4">
        <v>3</v>
      </c>
      <c r="T105" s="4">
        <v>3</v>
      </c>
      <c r="U105" s="5" t="s">
        <v>1213</v>
      </c>
      <c r="V105" s="5" t="s">
        <v>1213</v>
      </c>
      <c r="W105" s="5" t="s">
        <v>607</v>
      </c>
      <c r="X105" s="5" t="s">
        <v>607</v>
      </c>
      <c r="Y105" s="4">
        <v>518</v>
      </c>
      <c r="Z105" s="4">
        <v>466</v>
      </c>
      <c r="AA105" s="4">
        <v>476</v>
      </c>
      <c r="AB105" s="4">
        <v>4</v>
      </c>
      <c r="AC105" s="4">
        <v>4</v>
      </c>
      <c r="AD105" s="4">
        <v>22</v>
      </c>
      <c r="AE105" s="4">
        <v>22</v>
      </c>
      <c r="AF105" s="4">
        <v>4</v>
      </c>
      <c r="AG105" s="4">
        <v>4</v>
      </c>
      <c r="AH105" s="4">
        <v>7</v>
      </c>
      <c r="AI105" s="4">
        <v>7</v>
      </c>
      <c r="AJ105" s="4">
        <v>12</v>
      </c>
      <c r="AK105" s="4">
        <v>12</v>
      </c>
      <c r="AL105" s="4">
        <v>3</v>
      </c>
      <c r="AM105" s="4">
        <v>3</v>
      </c>
      <c r="AN105" s="4">
        <v>0</v>
      </c>
      <c r="AO105" s="4">
        <v>0</v>
      </c>
      <c r="AP105" s="3" t="s">
        <v>61</v>
      </c>
      <c r="AQ105" s="3" t="s">
        <v>61</v>
      </c>
      <c r="AS105" s="6" t="str">
        <f>HYPERLINK("https://creighton-primo.hosted.exlibrisgroup.com/primo-explore/search?tab=default_tab&amp;search_scope=EVERYTHING&amp;vid=01CRU&amp;lang=en_US&amp;offset=0&amp;query=any,contains,991003067739702656","Catalog Record")</f>
        <v>Catalog Record</v>
      </c>
      <c r="AT105" s="6" t="str">
        <f>HYPERLINK("http://www.worldcat.org/oclc/623266","WorldCat Record")</f>
        <v>WorldCat Record</v>
      </c>
      <c r="AU105" s="3" t="s">
        <v>1214</v>
      </c>
      <c r="AV105" s="3" t="s">
        <v>1215</v>
      </c>
      <c r="AW105" s="3" t="s">
        <v>1216</v>
      </c>
      <c r="AX105" s="3" t="s">
        <v>1216</v>
      </c>
      <c r="AY105" s="3" t="s">
        <v>1217</v>
      </c>
      <c r="AZ105" s="3" t="s">
        <v>75</v>
      </c>
      <c r="BC105" s="3" t="s">
        <v>1218</v>
      </c>
      <c r="BD105" s="3" t="s">
        <v>1219</v>
      </c>
    </row>
    <row r="106" spans="1:56" ht="44.25" customHeight="1" x14ac:dyDescent="0.25">
      <c r="A106" s="7" t="s">
        <v>61</v>
      </c>
      <c r="B106" s="2" t="s">
        <v>1220</v>
      </c>
      <c r="C106" s="2" t="s">
        <v>1221</v>
      </c>
      <c r="D106" s="2" t="s">
        <v>1222</v>
      </c>
      <c r="F106" s="3" t="s">
        <v>61</v>
      </c>
      <c r="G106" s="3" t="s">
        <v>60</v>
      </c>
      <c r="H106" s="3" t="s">
        <v>61</v>
      </c>
      <c r="I106" s="3" t="s">
        <v>61</v>
      </c>
      <c r="J106" s="3" t="s">
        <v>62</v>
      </c>
      <c r="K106" s="2" t="s">
        <v>1223</v>
      </c>
      <c r="L106" s="2" t="s">
        <v>1224</v>
      </c>
      <c r="M106" s="3" t="s">
        <v>552</v>
      </c>
      <c r="O106" s="3" t="s">
        <v>114</v>
      </c>
      <c r="P106" s="3" t="s">
        <v>1225</v>
      </c>
      <c r="Q106" s="2" t="s">
        <v>1226</v>
      </c>
      <c r="R106" s="3" t="s">
        <v>68</v>
      </c>
      <c r="S106" s="4">
        <v>5</v>
      </c>
      <c r="T106" s="4">
        <v>5</v>
      </c>
      <c r="U106" s="5" t="s">
        <v>1143</v>
      </c>
      <c r="V106" s="5" t="s">
        <v>1143</v>
      </c>
      <c r="W106" s="5" t="s">
        <v>1227</v>
      </c>
      <c r="X106" s="5" t="s">
        <v>1227</v>
      </c>
      <c r="Y106" s="4">
        <v>268</v>
      </c>
      <c r="Z106" s="4">
        <v>161</v>
      </c>
      <c r="AA106" s="4">
        <v>167</v>
      </c>
      <c r="AB106" s="4">
        <v>1</v>
      </c>
      <c r="AC106" s="4">
        <v>1</v>
      </c>
      <c r="AD106" s="4">
        <v>9</v>
      </c>
      <c r="AE106" s="4">
        <v>9</v>
      </c>
      <c r="AF106" s="4">
        <v>2</v>
      </c>
      <c r="AG106" s="4">
        <v>2</v>
      </c>
      <c r="AH106" s="4">
        <v>2</v>
      </c>
      <c r="AI106" s="4">
        <v>2</v>
      </c>
      <c r="AJ106" s="4">
        <v>9</v>
      </c>
      <c r="AK106" s="4">
        <v>9</v>
      </c>
      <c r="AL106" s="4">
        <v>0</v>
      </c>
      <c r="AM106" s="4">
        <v>0</v>
      </c>
      <c r="AN106" s="4">
        <v>0</v>
      </c>
      <c r="AO106" s="4">
        <v>0</v>
      </c>
      <c r="AP106" s="3" t="s">
        <v>61</v>
      </c>
      <c r="AQ106" s="3" t="s">
        <v>59</v>
      </c>
      <c r="AR106" s="6" t="str">
        <f>HYPERLINK("http://catalog.hathitrust.org/Record/001944581","HathiTrust Record")</f>
        <v>HathiTrust Record</v>
      </c>
      <c r="AS106" s="6" t="str">
        <f>HYPERLINK("https://creighton-primo.hosted.exlibrisgroup.com/primo-explore/search?tab=default_tab&amp;search_scope=EVERYTHING&amp;vid=01CRU&amp;lang=en_US&amp;offset=0&amp;query=any,contains,991001516379702656","Catalog Record")</f>
        <v>Catalog Record</v>
      </c>
      <c r="AT106" s="6" t="str">
        <f>HYPERLINK("http://www.worldcat.org/oclc/19922800","WorldCat Record")</f>
        <v>WorldCat Record</v>
      </c>
      <c r="AU106" s="3" t="s">
        <v>1228</v>
      </c>
      <c r="AV106" s="3" t="s">
        <v>1229</v>
      </c>
      <c r="AW106" s="3" t="s">
        <v>1230</v>
      </c>
      <c r="AX106" s="3" t="s">
        <v>1230</v>
      </c>
      <c r="AY106" s="3" t="s">
        <v>1231</v>
      </c>
      <c r="AZ106" s="3" t="s">
        <v>75</v>
      </c>
      <c r="BB106" s="3" t="s">
        <v>1232</v>
      </c>
      <c r="BC106" s="3" t="s">
        <v>1233</v>
      </c>
      <c r="BD106" s="3" t="s">
        <v>1234</v>
      </c>
    </row>
    <row r="107" spans="1:56" ht="44.25" customHeight="1" x14ac:dyDescent="0.25">
      <c r="A107" s="7" t="s">
        <v>61</v>
      </c>
      <c r="B107" s="2" t="s">
        <v>1235</v>
      </c>
      <c r="C107" s="2" t="s">
        <v>1236</v>
      </c>
      <c r="D107" s="2" t="s">
        <v>1237</v>
      </c>
      <c r="F107" s="3" t="s">
        <v>61</v>
      </c>
      <c r="G107" s="3" t="s">
        <v>60</v>
      </c>
      <c r="H107" s="3" t="s">
        <v>61</v>
      </c>
      <c r="I107" s="3" t="s">
        <v>61</v>
      </c>
      <c r="J107" s="3" t="s">
        <v>62</v>
      </c>
      <c r="K107" s="2" t="s">
        <v>1238</v>
      </c>
      <c r="L107" s="2" t="s">
        <v>1239</v>
      </c>
      <c r="M107" s="3" t="s">
        <v>305</v>
      </c>
      <c r="O107" s="3" t="s">
        <v>114</v>
      </c>
      <c r="P107" s="3" t="s">
        <v>1114</v>
      </c>
      <c r="Q107" s="2" t="s">
        <v>1240</v>
      </c>
      <c r="R107" s="3" t="s">
        <v>68</v>
      </c>
      <c r="S107" s="4">
        <v>3</v>
      </c>
      <c r="T107" s="4">
        <v>3</v>
      </c>
      <c r="U107" s="5" t="s">
        <v>1241</v>
      </c>
      <c r="V107" s="5" t="s">
        <v>1241</v>
      </c>
      <c r="W107" s="5" t="s">
        <v>1090</v>
      </c>
      <c r="X107" s="5" t="s">
        <v>1090</v>
      </c>
      <c r="Y107" s="4">
        <v>1000</v>
      </c>
      <c r="Z107" s="4">
        <v>873</v>
      </c>
      <c r="AA107" s="4">
        <v>916</v>
      </c>
      <c r="AB107" s="4">
        <v>8</v>
      </c>
      <c r="AC107" s="4">
        <v>9</v>
      </c>
      <c r="AD107" s="4">
        <v>44</v>
      </c>
      <c r="AE107" s="4">
        <v>45</v>
      </c>
      <c r="AF107" s="4">
        <v>17</v>
      </c>
      <c r="AG107" s="4">
        <v>17</v>
      </c>
      <c r="AH107" s="4">
        <v>9</v>
      </c>
      <c r="AI107" s="4">
        <v>9</v>
      </c>
      <c r="AJ107" s="4">
        <v>23</v>
      </c>
      <c r="AK107" s="4">
        <v>23</v>
      </c>
      <c r="AL107" s="4">
        <v>7</v>
      </c>
      <c r="AM107" s="4">
        <v>8</v>
      </c>
      <c r="AN107" s="4">
        <v>0</v>
      </c>
      <c r="AO107" s="4">
        <v>0</v>
      </c>
      <c r="AP107" s="3" t="s">
        <v>61</v>
      </c>
      <c r="AQ107" s="3" t="s">
        <v>59</v>
      </c>
      <c r="AR107" s="6" t="str">
        <f>HYPERLINK("http://catalog.hathitrust.org/Record/000666781","HathiTrust Record")</f>
        <v>HathiTrust Record</v>
      </c>
      <c r="AS107" s="6" t="str">
        <f>HYPERLINK("https://creighton-primo.hosted.exlibrisgroup.com/primo-explore/search?tab=default_tab&amp;search_scope=EVERYTHING&amp;vid=01CRU&amp;lang=en_US&amp;offset=0&amp;query=any,contains,991002662869702656","Catalog Record")</f>
        <v>Catalog Record</v>
      </c>
      <c r="AT107" s="6" t="str">
        <f>HYPERLINK("http://www.worldcat.org/oclc/392066","WorldCat Record")</f>
        <v>WorldCat Record</v>
      </c>
      <c r="AU107" s="3" t="s">
        <v>1242</v>
      </c>
      <c r="AV107" s="3" t="s">
        <v>1243</v>
      </c>
      <c r="AW107" s="3" t="s">
        <v>1244</v>
      </c>
      <c r="AX107" s="3" t="s">
        <v>1244</v>
      </c>
      <c r="AY107" s="3" t="s">
        <v>1245</v>
      </c>
      <c r="AZ107" s="3" t="s">
        <v>75</v>
      </c>
      <c r="BC107" s="3" t="s">
        <v>1246</v>
      </c>
      <c r="BD107" s="3" t="s">
        <v>1247</v>
      </c>
    </row>
    <row r="108" spans="1:56" ht="44.25" customHeight="1" x14ac:dyDescent="0.25">
      <c r="A108" s="7" t="s">
        <v>61</v>
      </c>
      <c r="B108" s="2" t="s">
        <v>1248</v>
      </c>
      <c r="C108" s="2" t="s">
        <v>1249</v>
      </c>
      <c r="D108" s="2" t="s">
        <v>1250</v>
      </c>
      <c r="F108" s="3" t="s">
        <v>61</v>
      </c>
      <c r="G108" s="3" t="s">
        <v>60</v>
      </c>
      <c r="H108" s="3" t="s">
        <v>61</v>
      </c>
      <c r="I108" s="3" t="s">
        <v>61</v>
      </c>
      <c r="J108" s="3" t="s">
        <v>62</v>
      </c>
      <c r="L108" s="2" t="s">
        <v>1251</v>
      </c>
      <c r="M108" s="3" t="s">
        <v>350</v>
      </c>
      <c r="O108" s="3" t="s">
        <v>114</v>
      </c>
      <c r="P108" s="3" t="s">
        <v>649</v>
      </c>
      <c r="R108" s="3" t="s">
        <v>68</v>
      </c>
      <c r="S108" s="4">
        <v>1</v>
      </c>
      <c r="T108" s="4">
        <v>1</v>
      </c>
      <c r="U108" s="5" t="s">
        <v>1252</v>
      </c>
      <c r="V108" s="5" t="s">
        <v>1252</v>
      </c>
      <c r="W108" s="5" t="s">
        <v>607</v>
      </c>
      <c r="X108" s="5" t="s">
        <v>607</v>
      </c>
      <c r="Y108" s="4">
        <v>531</v>
      </c>
      <c r="Z108" s="4">
        <v>434</v>
      </c>
      <c r="AA108" s="4">
        <v>450</v>
      </c>
      <c r="AB108" s="4">
        <v>3</v>
      </c>
      <c r="AC108" s="4">
        <v>3</v>
      </c>
      <c r="AD108" s="4">
        <v>23</v>
      </c>
      <c r="AE108" s="4">
        <v>24</v>
      </c>
      <c r="AF108" s="4">
        <v>7</v>
      </c>
      <c r="AG108" s="4">
        <v>8</v>
      </c>
      <c r="AH108" s="4">
        <v>8</v>
      </c>
      <c r="AI108" s="4">
        <v>8</v>
      </c>
      <c r="AJ108" s="4">
        <v>14</v>
      </c>
      <c r="AK108" s="4">
        <v>14</v>
      </c>
      <c r="AL108" s="4">
        <v>2</v>
      </c>
      <c r="AM108" s="4">
        <v>2</v>
      </c>
      <c r="AN108" s="4">
        <v>0</v>
      </c>
      <c r="AO108" s="4">
        <v>0</v>
      </c>
      <c r="AP108" s="3" t="s">
        <v>61</v>
      </c>
      <c r="AQ108" s="3" t="s">
        <v>59</v>
      </c>
      <c r="AR108" s="6" t="str">
        <f>HYPERLINK("http://catalog.hathitrust.org/Record/000688698","HathiTrust Record")</f>
        <v>HathiTrust Record</v>
      </c>
      <c r="AS108" s="6" t="str">
        <f>HYPERLINK("https://creighton-primo.hosted.exlibrisgroup.com/primo-explore/search?tab=default_tab&amp;search_scope=EVERYTHING&amp;vid=01CRU&amp;lang=en_US&amp;offset=0&amp;query=any,contains,991004792919702656","Catalog Record")</f>
        <v>Catalog Record</v>
      </c>
      <c r="AT108" s="6" t="str">
        <f>HYPERLINK("http://www.worldcat.org/oclc/5171863","WorldCat Record")</f>
        <v>WorldCat Record</v>
      </c>
      <c r="AU108" s="3" t="s">
        <v>1253</v>
      </c>
      <c r="AV108" s="3" t="s">
        <v>1254</v>
      </c>
      <c r="AW108" s="3" t="s">
        <v>1255</v>
      </c>
      <c r="AX108" s="3" t="s">
        <v>1255</v>
      </c>
      <c r="AY108" s="3" t="s">
        <v>1256</v>
      </c>
      <c r="AZ108" s="3" t="s">
        <v>75</v>
      </c>
      <c r="BB108" s="3" t="s">
        <v>1257</v>
      </c>
      <c r="BC108" s="3" t="s">
        <v>1258</v>
      </c>
      <c r="BD108" s="3" t="s">
        <v>1259</v>
      </c>
    </row>
    <row r="109" spans="1:56" ht="44.25" customHeight="1" x14ac:dyDescent="0.25">
      <c r="A109" s="7" t="s">
        <v>61</v>
      </c>
      <c r="B109" s="2" t="s">
        <v>1260</v>
      </c>
      <c r="C109" s="2" t="s">
        <v>1261</v>
      </c>
      <c r="D109" s="2" t="s">
        <v>1262</v>
      </c>
      <c r="F109" s="3" t="s">
        <v>61</v>
      </c>
      <c r="G109" s="3" t="s">
        <v>60</v>
      </c>
      <c r="H109" s="3" t="s">
        <v>61</v>
      </c>
      <c r="I109" s="3" t="s">
        <v>61</v>
      </c>
      <c r="J109" s="3" t="s">
        <v>62</v>
      </c>
      <c r="K109" s="2" t="s">
        <v>1263</v>
      </c>
      <c r="L109" s="2" t="s">
        <v>1264</v>
      </c>
      <c r="M109" s="3" t="s">
        <v>770</v>
      </c>
      <c r="O109" s="3" t="s">
        <v>114</v>
      </c>
      <c r="P109" s="3" t="s">
        <v>1114</v>
      </c>
      <c r="R109" s="3" t="s">
        <v>68</v>
      </c>
      <c r="S109" s="4">
        <v>1</v>
      </c>
      <c r="T109" s="4">
        <v>1</v>
      </c>
      <c r="U109" s="5" t="s">
        <v>1265</v>
      </c>
      <c r="V109" s="5" t="s">
        <v>1265</v>
      </c>
      <c r="W109" s="5" t="s">
        <v>1090</v>
      </c>
      <c r="X109" s="5" t="s">
        <v>1090</v>
      </c>
      <c r="Y109" s="4">
        <v>917</v>
      </c>
      <c r="Z109" s="4">
        <v>753</v>
      </c>
      <c r="AA109" s="4">
        <v>827</v>
      </c>
      <c r="AB109" s="4">
        <v>3</v>
      </c>
      <c r="AC109" s="4">
        <v>4</v>
      </c>
      <c r="AD109" s="4">
        <v>24</v>
      </c>
      <c r="AE109" s="4">
        <v>27</v>
      </c>
      <c r="AF109" s="4">
        <v>8</v>
      </c>
      <c r="AG109" s="4">
        <v>9</v>
      </c>
      <c r="AH109" s="4">
        <v>7</v>
      </c>
      <c r="AI109" s="4">
        <v>8</v>
      </c>
      <c r="AJ109" s="4">
        <v>15</v>
      </c>
      <c r="AK109" s="4">
        <v>16</v>
      </c>
      <c r="AL109" s="4">
        <v>2</v>
      </c>
      <c r="AM109" s="4">
        <v>3</v>
      </c>
      <c r="AN109" s="4">
        <v>0</v>
      </c>
      <c r="AO109" s="4">
        <v>0</v>
      </c>
      <c r="AP109" s="3" t="s">
        <v>61</v>
      </c>
      <c r="AQ109" s="3" t="s">
        <v>61</v>
      </c>
      <c r="AS109" s="6" t="str">
        <f>HYPERLINK("https://creighton-primo.hosted.exlibrisgroup.com/primo-explore/search?tab=default_tab&amp;search_scope=EVERYTHING&amp;vid=01CRU&amp;lang=en_US&amp;offset=0&amp;query=any,contains,991003591019702656","Catalog Record")</f>
        <v>Catalog Record</v>
      </c>
      <c r="AT109" s="6" t="str">
        <f>HYPERLINK("http://www.worldcat.org/oclc/1173750","WorldCat Record")</f>
        <v>WorldCat Record</v>
      </c>
      <c r="AU109" s="3" t="s">
        <v>1266</v>
      </c>
      <c r="AV109" s="3" t="s">
        <v>1267</v>
      </c>
      <c r="AW109" s="3" t="s">
        <v>1268</v>
      </c>
      <c r="AX109" s="3" t="s">
        <v>1268</v>
      </c>
      <c r="AY109" s="3" t="s">
        <v>1269</v>
      </c>
      <c r="AZ109" s="3" t="s">
        <v>75</v>
      </c>
      <c r="BB109" s="3" t="s">
        <v>1270</v>
      </c>
      <c r="BC109" s="3" t="s">
        <v>1271</v>
      </c>
      <c r="BD109" s="3" t="s">
        <v>1272</v>
      </c>
    </row>
    <row r="110" spans="1:56" ht="44.25" customHeight="1" x14ac:dyDescent="0.25">
      <c r="A110" s="7" t="s">
        <v>61</v>
      </c>
      <c r="B110" s="2" t="s">
        <v>1273</v>
      </c>
      <c r="C110" s="2" t="s">
        <v>1274</v>
      </c>
      <c r="D110" s="2" t="s">
        <v>1275</v>
      </c>
      <c r="F110" s="3" t="s">
        <v>61</v>
      </c>
      <c r="G110" s="3" t="s">
        <v>60</v>
      </c>
      <c r="H110" s="3" t="s">
        <v>61</v>
      </c>
      <c r="I110" s="3" t="s">
        <v>61</v>
      </c>
      <c r="J110" s="3" t="s">
        <v>62</v>
      </c>
      <c r="L110" s="2" t="s">
        <v>1276</v>
      </c>
      <c r="M110" s="3" t="s">
        <v>220</v>
      </c>
      <c r="O110" s="3" t="s">
        <v>114</v>
      </c>
      <c r="P110" s="3" t="s">
        <v>619</v>
      </c>
      <c r="Q110" s="2" t="s">
        <v>1277</v>
      </c>
      <c r="R110" s="3" t="s">
        <v>68</v>
      </c>
      <c r="S110" s="4">
        <v>3</v>
      </c>
      <c r="T110" s="4">
        <v>3</v>
      </c>
      <c r="U110" s="5" t="s">
        <v>1278</v>
      </c>
      <c r="V110" s="5" t="s">
        <v>1278</v>
      </c>
      <c r="W110" s="5" t="s">
        <v>1279</v>
      </c>
      <c r="X110" s="5" t="s">
        <v>1279</v>
      </c>
      <c r="Y110" s="4">
        <v>437</v>
      </c>
      <c r="Z110" s="4">
        <v>316</v>
      </c>
      <c r="AA110" s="4">
        <v>327</v>
      </c>
      <c r="AB110" s="4">
        <v>2</v>
      </c>
      <c r="AC110" s="4">
        <v>2</v>
      </c>
      <c r="AD110" s="4">
        <v>19</v>
      </c>
      <c r="AE110" s="4">
        <v>20</v>
      </c>
      <c r="AF110" s="4">
        <v>5</v>
      </c>
      <c r="AG110" s="4">
        <v>5</v>
      </c>
      <c r="AH110" s="4">
        <v>7</v>
      </c>
      <c r="AI110" s="4">
        <v>8</v>
      </c>
      <c r="AJ110" s="4">
        <v>11</v>
      </c>
      <c r="AK110" s="4">
        <v>11</v>
      </c>
      <c r="AL110" s="4">
        <v>1</v>
      </c>
      <c r="AM110" s="4">
        <v>1</v>
      </c>
      <c r="AN110" s="4">
        <v>0</v>
      </c>
      <c r="AO110" s="4">
        <v>0</v>
      </c>
      <c r="AP110" s="3" t="s">
        <v>61</v>
      </c>
      <c r="AQ110" s="3" t="s">
        <v>61</v>
      </c>
      <c r="AS110" s="6" t="str">
        <f>HYPERLINK("https://creighton-primo.hosted.exlibrisgroup.com/primo-explore/search?tab=default_tab&amp;search_scope=EVERYTHING&amp;vid=01CRU&amp;lang=en_US&amp;offset=0&amp;query=any,contains,991004155699702656","Catalog Record")</f>
        <v>Catalog Record</v>
      </c>
      <c r="AT110" s="6" t="str">
        <f>HYPERLINK("http://www.worldcat.org/oclc/43567294","WorldCat Record")</f>
        <v>WorldCat Record</v>
      </c>
      <c r="AU110" s="3" t="s">
        <v>1280</v>
      </c>
      <c r="AV110" s="3" t="s">
        <v>1281</v>
      </c>
      <c r="AW110" s="3" t="s">
        <v>1282</v>
      </c>
      <c r="AX110" s="3" t="s">
        <v>1282</v>
      </c>
      <c r="AY110" s="3" t="s">
        <v>1283</v>
      </c>
      <c r="AZ110" s="3" t="s">
        <v>75</v>
      </c>
      <c r="BB110" s="3" t="s">
        <v>1284</v>
      </c>
      <c r="BC110" s="3" t="s">
        <v>1285</v>
      </c>
      <c r="BD110" s="3" t="s">
        <v>1286</v>
      </c>
    </row>
    <row r="111" spans="1:56" ht="44.25" customHeight="1" x14ac:dyDescent="0.25">
      <c r="A111" s="7" t="s">
        <v>61</v>
      </c>
      <c r="B111" s="2" t="s">
        <v>1287</v>
      </c>
      <c r="C111" s="2" t="s">
        <v>1288</v>
      </c>
      <c r="D111" s="2" t="s">
        <v>1289</v>
      </c>
      <c r="F111" s="3" t="s">
        <v>61</v>
      </c>
      <c r="G111" s="3" t="s">
        <v>60</v>
      </c>
      <c r="H111" s="3" t="s">
        <v>61</v>
      </c>
      <c r="I111" s="3" t="s">
        <v>61</v>
      </c>
      <c r="J111" s="3" t="s">
        <v>62</v>
      </c>
      <c r="K111" s="2" t="s">
        <v>1290</v>
      </c>
      <c r="L111" s="2" t="s">
        <v>1291</v>
      </c>
      <c r="M111" s="3" t="s">
        <v>379</v>
      </c>
      <c r="O111" s="3" t="s">
        <v>114</v>
      </c>
      <c r="P111" s="3" t="s">
        <v>192</v>
      </c>
      <c r="R111" s="3" t="s">
        <v>68</v>
      </c>
      <c r="S111" s="4">
        <v>5</v>
      </c>
      <c r="T111" s="4">
        <v>5</v>
      </c>
      <c r="U111" s="5" t="s">
        <v>1292</v>
      </c>
      <c r="V111" s="5" t="s">
        <v>1292</v>
      </c>
      <c r="W111" s="5" t="s">
        <v>1293</v>
      </c>
      <c r="X111" s="5" t="s">
        <v>1293</v>
      </c>
      <c r="Y111" s="4">
        <v>383</v>
      </c>
      <c r="Z111" s="4">
        <v>243</v>
      </c>
      <c r="AA111" s="4">
        <v>1165</v>
      </c>
      <c r="AB111" s="4">
        <v>2</v>
      </c>
      <c r="AC111" s="4">
        <v>13</v>
      </c>
      <c r="AD111" s="4">
        <v>15</v>
      </c>
      <c r="AE111" s="4">
        <v>32</v>
      </c>
      <c r="AF111" s="4">
        <v>5</v>
      </c>
      <c r="AG111" s="4">
        <v>9</v>
      </c>
      <c r="AH111" s="4">
        <v>4</v>
      </c>
      <c r="AI111" s="4">
        <v>6</v>
      </c>
      <c r="AJ111" s="4">
        <v>10</v>
      </c>
      <c r="AK111" s="4">
        <v>13</v>
      </c>
      <c r="AL111" s="4">
        <v>1</v>
      </c>
      <c r="AM111" s="4">
        <v>10</v>
      </c>
      <c r="AN111" s="4">
        <v>0</v>
      </c>
      <c r="AO111" s="4">
        <v>0</v>
      </c>
      <c r="AP111" s="3" t="s">
        <v>61</v>
      </c>
      <c r="AQ111" s="3" t="s">
        <v>61</v>
      </c>
      <c r="AS111" s="6" t="str">
        <f>HYPERLINK("https://creighton-primo.hosted.exlibrisgroup.com/primo-explore/search?tab=default_tab&amp;search_scope=EVERYTHING&amp;vid=01CRU&amp;lang=en_US&amp;offset=0&amp;query=any,contains,991003025439702656","Catalog Record")</f>
        <v>Catalog Record</v>
      </c>
      <c r="AT111" s="6" t="str">
        <f>HYPERLINK("http://www.worldcat.org/oclc/41320000","WorldCat Record")</f>
        <v>WorldCat Record</v>
      </c>
      <c r="AU111" s="3" t="s">
        <v>1294</v>
      </c>
      <c r="AV111" s="3" t="s">
        <v>1295</v>
      </c>
      <c r="AW111" s="3" t="s">
        <v>1296</v>
      </c>
      <c r="AX111" s="3" t="s">
        <v>1296</v>
      </c>
      <c r="AY111" s="3" t="s">
        <v>1297</v>
      </c>
      <c r="AZ111" s="3" t="s">
        <v>75</v>
      </c>
      <c r="BB111" s="3" t="s">
        <v>1298</v>
      </c>
      <c r="BC111" s="3" t="s">
        <v>1299</v>
      </c>
      <c r="BD111" s="3" t="s">
        <v>1300</v>
      </c>
    </row>
    <row r="112" spans="1:56" ht="44.25" customHeight="1" x14ac:dyDescent="0.25">
      <c r="A112" s="7" t="s">
        <v>61</v>
      </c>
      <c r="B112" s="2" t="s">
        <v>1301</v>
      </c>
      <c r="C112" s="2" t="s">
        <v>1302</v>
      </c>
      <c r="D112" s="2" t="s">
        <v>1303</v>
      </c>
      <c r="F112" s="3" t="s">
        <v>61</v>
      </c>
      <c r="G112" s="3" t="s">
        <v>60</v>
      </c>
      <c r="H112" s="3" t="s">
        <v>61</v>
      </c>
      <c r="I112" s="3" t="s">
        <v>61</v>
      </c>
      <c r="J112" s="3" t="s">
        <v>62</v>
      </c>
      <c r="K112" s="2" t="s">
        <v>1304</v>
      </c>
      <c r="L112" s="2" t="s">
        <v>1305</v>
      </c>
      <c r="M112" s="3" t="s">
        <v>1306</v>
      </c>
      <c r="O112" s="3" t="s">
        <v>114</v>
      </c>
      <c r="P112" s="3" t="s">
        <v>235</v>
      </c>
      <c r="R112" s="3" t="s">
        <v>68</v>
      </c>
      <c r="S112" s="4">
        <v>5</v>
      </c>
      <c r="T112" s="4">
        <v>5</v>
      </c>
      <c r="U112" s="5" t="s">
        <v>1307</v>
      </c>
      <c r="V112" s="5" t="s">
        <v>1307</v>
      </c>
      <c r="W112" s="5" t="s">
        <v>1090</v>
      </c>
      <c r="X112" s="5" t="s">
        <v>1090</v>
      </c>
      <c r="Y112" s="4">
        <v>651</v>
      </c>
      <c r="Z112" s="4">
        <v>577</v>
      </c>
      <c r="AA112" s="4">
        <v>713</v>
      </c>
      <c r="AB112" s="4">
        <v>5</v>
      </c>
      <c r="AC112" s="4">
        <v>6</v>
      </c>
      <c r="AD112" s="4">
        <v>32</v>
      </c>
      <c r="AE112" s="4">
        <v>41</v>
      </c>
      <c r="AF112" s="4">
        <v>14</v>
      </c>
      <c r="AG112" s="4">
        <v>17</v>
      </c>
      <c r="AH112" s="4">
        <v>8</v>
      </c>
      <c r="AI112" s="4">
        <v>10</v>
      </c>
      <c r="AJ112" s="4">
        <v>15</v>
      </c>
      <c r="AK112" s="4">
        <v>21</v>
      </c>
      <c r="AL112" s="4">
        <v>4</v>
      </c>
      <c r="AM112" s="4">
        <v>5</v>
      </c>
      <c r="AN112" s="4">
        <v>0</v>
      </c>
      <c r="AO112" s="4">
        <v>0</v>
      </c>
      <c r="AP112" s="3" t="s">
        <v>61</v>
      </c>
      <c r="AQ112" s="3" t="s">
        <v>59</v>
      </c>
      <c r="AR112" s="6" t="str">
        <f>HYPERLINK("http://catalog.hathitrust.org/Record/002781628","HathiTrust Record")</f>
        <v>HathiTrust Record</v>
      </c>
      <c r="AS112" s="6" t="str">
        <f>HYPERLINK("https://creighton-primo.hosted.exlibrisgroup.com/primo-explore/search?tab=default_tab&amp;search_scope=EVERYTHING&amp;vid=01CRU&amp;lang=en_US&amp;offset=0&amp;query=any,contains,991002664319702656","Catalog Record")</f>
        <v>Catalog Record</v>
      </c>
      <c r="AT112" s="6" t="str">
        <f>HYPERLINK("http://www.worldcat.org/oclc/392617","WorldCat Record")</f>
        <v>WorldCat Record</v>
      </c>
      <c r="AU112" s="3" t="s">
        <v>1308</v>
      </c>
      <c r="AV112" s="3" t="s">
        <v>1309</v>
      </c>
      <c r="AW112" s="3" t="s">
        <v>1310</v>
      </c>
      <c r="AX112" s="3" t="s">
        <v>1310</v>
      </c>
      <c r="AY112" s="3" t="s">
        <v>1311</v>
      </c>
      <c r="AZ112" s="3" t="s">
        <v>75</v>
      </c>
      <c r="BC112" s="3" t="s">
        <v>1312</v>
      </c>
      <c r="BD112" s="3" t="s">
        <v>1313</v>
      </c>
    </row>
    <row r="113" spans="1:56" ht="44.25" customHeight="1" x14ac:dyDescent="0.25">
      <c r="A113" s="7" t="s">
        <v>61</v>
      </c>
      <c r="B113" s="2" t="s">
        <v>1314</v>
      </c>
      <c r="C113" s="2" t="s">
        <v>1315</v>
      </c>
      <c r="D113" s="2" t="s">
        <v>1316</v>
      </c>
      <c r="F113" s="3" t="s">
        <v>61</v>
      </c>
      <c r="G113" s="3" t="s">
        <v>60</v>
      </c>
      <c r="H113" s="3" t="s">
        <v>61</v>
      </c>
      <c r="I113" s="3" t="s">
        <v>61</v>
      </c>
      <c r="J113" s="3" t="s">
        <v>62</v>
      </c>
      <c r="K113" s="2" t="s">
        <v>1317</v>
      </c>
      <c r="L113" s="2" t="s">
        <v>1318</v>
      </c>
      <c r="M113" s="3" t="s">
        <v>1319</v>
      </c>
      <c r="N113" s="2" t="s">
        <v>306</v>
      </c>
      <c r="O113" s="3" t="s">
        <v>114</v>
      </c>
      <c r="P113" s="3" t="s">
        <v>235</v>
      </c>
      <c r="R113" s="3" t="s">
        <v>68</v>
      </c>
      <c r="S113" s="4">
        <v>2</v>
      </c>
      <c r="T113" s="4">
        <v>2</v>
      </c>
      <c r="U113" s="5" t="s">
        <v>1320</v>
      </c>
      <c r="V113" s="5" t="s">
        <v>1320</v>
      </c>
      <c r="W113" s="5" t="s">
        <v>1090</v>
      </c>
      <c r="X113" s="5" t="s">
        <v>1090</v>
      </c>
      <c r="Y113" s="4">
        <v>1027</v>
      </c>
      <c r="Z113" s="4">
        <v>950</v>
      </c>
      <c r="AA113" s="4">
        <v>1059</v>
      </c>
      <c r="AB113" s="4">
        <v>8</v>
      </c>
      <c r="AC113" s="4">
        <v>8</v>
      </c>
      <c r="AD113" s="4">
        <v>37</v>
      </c>
      <c r="AE113" s="4">
        <v>40</v>
      </c>
      <c r="AF113" s="4">
        <v>12</v>
      </c>
      <c r="AG113" s="4">
        <v>14</v>
      </c>
      <c r="AH113" s="4">
        <v>9</v>
      </c>
      <c r="AI113" s="4">
        <v>9</v>
      </c>
      <c r="AJ113" s="4">
        <v>19</v>
      </c>
      <c r="AK113" s="4">
        <v>21</v>
      </c>
      <c r="AL113" s="4">
        <v>7</v>
      </c>
      <c r="AM113" s="4">
        <v>7</v>
      </c>
      <c r="AN113" s="4">
        <v>0</v>
      </c>
      <c r="AO113" s="4">
        <v>0</v>
      </c>
      <c r="AP113" s="3" t="s">
        <v>61</v>
      </c>
      <c r="AQ113" s="3" t="s">
        <v>59</v>
      </c>
      <c r="AR113" s="6" t="str">
        <f>HYPERLINK("http://catalog.hathitrust.org/Record/000665883","HathiTrust Record")</f>
        <v>HathiTrust Record</v>
      </c>
      <c r="AS113" s="6" t="str">
        <f>HYPERLINK("https://creighton-primo.hosted.exlibrisgroup.com/primo-explore/search?tab=default_tab&amp;search_scope=EVERYTHING&amp;vid=01CRU&amp;lang=en_US&amp;offset=0&amp;query=any,contains,991002664279702656","Catalog Record")</f>
        <v>Catalog Record</v>
      </c>
      <c r="AT113" s="6" t="str">
        <f>HYPERLINK("http://www.worldcat.org/oclc/392611","WorldCat Record")</f>
        <v>WorldCat Record</v>
      </c>
      <c r="AU113" s="3" t="s">
        <v>1321</v>
      </c>
      <c r="AV113" s="3" t="s">
        <v>1322</v>
      </c>
      <c r="AW113" s="3" t="s">
        <v>1323</v>
      </c>
      <c r="AX113" s="3" t="s">
        <v>1323</v>
      </c>
      <c r="AY113" s="3" t="s">
        <v>1324</v>
      </c>
      <c r="AZ113" s="3" t="s">
        <v>75</v>
      </c>
      <c r="BC113" s="3" t="s">
        <v>1325</v>
      </c>
      <c r="BD113" s="3" t="s">
        <v>1326</v>
      </c>
    </row>
    <row r="114" spans="1:56" ht="44.25" customHeight="1" x14ac:dyDescent="0.25">
      <c r="A114" s="7" t="s">
        <v>61</v>
      </c>
      <c r="B114" s="2" t="s">
        <v>1327</v>
      </c>
      <c r="C114" s="2" t="s">
        <v>1328</v>
      </c>
      <c r="D114" s="2" t="s">
        <v>1329</v>
      </c>
      <c r="F114" s="3" t="s">
        <v>61</v>
      </c>
      <c r="G114" s="3" t="s">
        <v>60</v>
      </c>
      <c r="H114" s="3" t="s">
        <v>61</v>
      </c>
      <c r="I114" s="3" t="s">
        <v>61</v>
      </c>
      <c r="J114" s="3" t="s">
        <v>62</v>
      </c>
      <c r="K114" s="2" t="s">
        <v>1330</v>
      </c>
      <c r="L114" s="2" t="s">
        <v>1331</v>
      </c>
      <c r="M114" s="3" t="s">
        <v>1332</v>
      </c>
      <c r="O114" s="3" t="s">
        <v>114</v>
      </c>
      <c r="P114" s="3" t="s">
        <v>235</v>
      </c>
      <c r="Q114" s="2" t="s">
        <v>1333</v>
      </c>
      <c r="R114" s="3" t="s">
        <v>68</v>
      </c>
      <c r="S114" s="4">
        <v>5</v>
      </c>
      <c r="T114" s="4">
        <v>5</v>
      </c>
      <c r="U114" s="5" t="s">
        <v>1307</v>
      </c>
      <c r="V114" s="5" t="s">
        <v>1307</v>
      </c>
      <c r="W114" s="5" t="s">
        <v>1334</v>
      </c>
      <c r="X114" s="5" t="s">
        <v>1334</v>
      </c>
      <c r="Y114" s="4">
        <v>861</v>
      </c>
      <c r="Z114" s="4">
        <v>728</v>
      </c>
      <c r="AA114" s="4">
        <v>876</v>
      </c>
      <c r="AB114" s="4">
        <v>6</v>
      </c>
      <c r="AC114" s="4">
        <v>6</v>
      </c>
      <c r="AD114" s="4">
        <v>36</v>
      </c>
      <c r="AE114" s="4">
        <v>37</v>
      </c>
      <c r="AF114" s="4">
        <v>14</v>
      </c>
      <c r="AG114" s="4">
        <v>15</v>
      </c>
      <c r="AH114" s="4">
        <v>7</v>
      </c>
      <c r="AI114" s="4">
        <v>7</v>
      </c>
      <c r="AJ114" s="4">
        <v>18</v>
      </c>
      <c r="AK114" s="4">
        <v>19</v>
      </c>
      <c r="AL114" s="4">
        <v>5</v>
      </c>
      <c r="AM114" s="4">
        <v>5</v>
      </c>
      <c r="AN114" s="4">
        <v>0</v>
      </c>
      <c r="AO114" s="4">
        <v>0</v>
      </c>
      <c r="AP114" s="3" t="s">
        <v>61</v>
      </c>
      <c r="AQ114" s="3" t="s">
        <v>59</v>
      </c>
      <c r="AR114" s="6" t="str">
        <f>HYPERLINK("http://catalog.hathitrust.org/Record/000666885","HathiTrust Record")</f>
        <v>HathiTrust Record</v>
      </c>
      <c r="AS114" s="6" t="str">
        <f>HYPERLINK("https://creighton-primo.hosted.exlibrisgroup.com/primo-explore/search?tab=default_tab&amp;search_scope=EVERYTHING&amp;vid=01CRU&amp;lang=en_US&amp;offset=0&amp;query=any,contains,991002658949702656","Catalog Record")</f>
        <v>Catalog Record</v>
      </c>
      <c r="AT114" s="6" t="str">
        <f>HYPERLINK("http://www.worldcat.org/oclc/390746","WorldCat Record")</f>
        <v>WorldCat Record</v>
      </c>
      <c r="AU114" s="3" t="s">
        <v>1335</v>
      </c>
      <c r="AV114" s="3" t="s">
        <v>1336</v>
      </c>
      <c r="AW114" s="3" t="s">
        <v>1337</v>
      </c>
      <c r="AX114" s="3" t="s">
        <v>1337</v>
      </c>
      <c r="AY114" s="3" t="s">
        <v>1338</v>
      </c>
      <c r="AZ114" s="3" t="s">
        <v>75</v>
      </c>
      <c r="BC114" s="3" t="s">
        <v>1339</v>
      </c>
      <c r="BD114" s="3" t="s">
        <v>1340</v>
      </c>
    </row>
    <row r="115" spans="1:56" ht="44.25" customHeight="1" x14ac:dyDescent="0.25">
      <c r="A115" s="7" t="s">
        <v>61</v>
      </c>
      <c r="B115" s="2" t="s">
        <v>1341</v>
      </c>
      <c r="C115" s="2" t="s">
        <v>1342</v>
      </c>
      <c r="D115" s="2" t="s">
        <v>1343</v>
      </c>
      <c r="F115" s="3" t="s">
        <v>61</v>
      </c>
      <c r="G115" s="3" t="s">
        <v>60</v>
      </c>
      <c r="H115" s="3" t="s">
        <v>61</v>
      </c>
      <c r="I115" s="3" t="s">
        <v>61</v>
      </c>
      <c r="J115" s="3" t="s">
        <v>62</v>
      </c>
      <c r="K115" s="2" t="s">
        <v>1344</v>
      </c>
      <c r="L115" s="2" t="s">
        <v>1345</v>
      </c>
      <c r="M115" s="3" t="s">
        <v>350</v>
      </c>
      <c r="O115" s="3" t="s">
        <v>114</v>
      </c>
      <c r="P115" s="3" t="s">
        <v>235</v>
      </c>
      <c r="Q115" s="2" t="s">
        <v>1346</v>
      </c>
      <c r="R115" s="3" t="s">
        <v>68</v>
      </c>
      <c r="S115" s="4">
        <v>2</v>
      </c>
      <c r="T115" s="4">
        <v>2</v>
      </c>
      <c r="U115" s="5" t="s">
        <v>1347</v>
      </c>
      <c r="V115" s="5" t="s">
        <v>1347</v>
      </c>
      <c r="W115" s="5" t="s">
        <v>607</v>
      </c>
      <c r="X115" s="5" t="s">
        <v>607</v>
      </c>
      <c r="Y115" s="4">
        <v>383</v>
      </c>
      <c r="Z115" s="4">
        <v>342</v>
      </c>
      <c r="AA115" s="4">
        <v>350</v>
      </c>
      <c r="AB115" s="4">
        <v>6</v>
      </c>
      <c r="AC115" s="4">
        <v>6</v>
      </c>
      <c r="AD115" s="4">
        <v>15</v>
      </c>
      <c r="AE115" s="4">
        <v>15</v>
      </c>
      <c r="AF115" s="4">
        <v>4</v>
      </c>
      <c r="AG115" s="4">
        <v>4</v>
      </c>
      <c r="AH115" s="4">
        <v>1</v>
      </c>
      <c r="AI115" s="4">
        <v>1</v>
      </c>
      <c r="AJ115" s="4">
        <v>5</v>
      </c>
      <c r="AK115" s="4">
        <v>5</v>
      </c>
      <c r="AL115" s="4">
        <v>5</v>
      </c>
      <c r="AM115" s="4">
        <v>5</v>
      </c>
      <c r="AN115" s="4">
        <v>1</v>
      </c>
      <c r="AO115" s="4">
        <v>1</v>
      </c>
      <c r="AP115" s="3" t="s">
        <v>61</v>
      </c>
      <c r="AQ115" s="3" t="s">
        <v>59</v>
      </c>
      <c r="AR115" s="6" t="str">
        <f>HYPERLINK("http://catalog.hathitrust.org/Record/000259886","HathiTrust Record")</f>
        <v>HathiTrust Record</v>
      </c>
      <c r="AS115" s="6" t="str">
        <f>HYPERLINK("https://creighton-primo.hosted.exlibrisgroup.com/primo-explore/search?tab=default_tab&amp;search_scope=EVERYTHING&amp;vid=01CRU&amp;lang=en_US&amp;offset=0&amp;query=any,contains,991004694069702656","Catalog Record")</f>
        <v>Catalog Record</v>
      </c>
      <c r="AT115" s="6" t="str">
        <f>HYPERLINK("http://www.worldcat.org/oclc/4638202","WorldCat Record")</f>
        <v>WorldCat Record</v>
      </c>
      <c r="AU115" s="3" t="s">
        <v>1348</v>
      </c>
      <c r="AV115" s="3" t="s">
        <v>1349</v>
      </c>
      <c r="AW115" s="3" t="s">
        <v>1350</v>
      </c>
      <c r="AX115" s="3" t="s">
        <v>1350</v>
      </c>
      <c r="AY115" s="3" t="s">
        <v>1351</v>
      </c>
      <c r="AZ115" s="3" t="s">
        <v>75</v>
      </c>
      <c r="BB115" s="3" t="s">
        <v>1352</v>
      </c>
      <c r="BC115" s="3" t="s">
        <v>1353</v>
      </c>
      <c r="BD115" s="3" t="s">
        <v>1354</v>
      </c>
    </row>
    <row r="116" spans="1:56" ht="44.25" customHeight="1" x14ac:dyDescent="0.25">
      <c r="A116" s="7" t="s">
        <v>61</v>
      </c>
      <c r="B116" s="2" t="s">
        <v>1355</v>
      </c>
      <c r="C116" s="2" t="s">
        <v>1356</v>
      </c>
      <c r="D116" s="2" t="s">
        <v>1357</v>
      </c>
      <c r="F116" s="3" t="s">
        <v>61</v>
      </c>
      <c r="G116" s="3" t="s">
        <v>60</v>
      </c>
      <c r="H116" s="3" t="s">
        <v>61</v>
      </c>
      <c r="I116" s="3" t="s">
        <v>61</v>
      </c>
      <c r="J116" s="3" t="s">
        <v>62</v>
      </c>
      <c r="K116" s="2" t="s">
        <v>1358</v>
      </c>
      <c r="L116" s="2" t="s">
        <v>1359</v>
      </c>
      <c r="M116" s="3" t="s">
        <v>495</v>
      </c>
      <c r="N116" s="2" t="s">
        <v>1360</v>
      </c>
      <c r="O116" s="3" t="s">
        <v>114</v>
      </c>
      <c r="P116" s="3" t="s">
        <v>1361</v>
      </c>
      <c r="R116" s="3" t="s">
        <v>68</v>
      </c>
      <c r="S116" s="4">
        <v>4</v>
      </c>
      <c r="T116" s="4">
        <v>4</v>
      </c>
      <c r="U116" s="5" t="s">
        <v>1362</v>
      </c>
      <c r="V116" s="5" t="s">
        <v>1362</v>
      </c>
      <c r="W116" s="5" t="s">
        <v>1363</v>
      </c>
      <c r="X116" s="5" t="s">
        <v>1363</v>
      </c>
      <c r="Y116" s="4">
        <v>157</v>
      </c>
      <c r="Z116" s="4">
        <v>132</v>
      </c>
      <c r="AA116" s="4">
        <v>175</v>
      </c>
      <c r="AB116" s="4">
        <v>2</v>
      </c>
      <c r="AC116" s="4">
        <v>2</v>
      </c>
      <c r="AD116" s="4">
        <v>4</v>
      </c>
      <c r="AE116" s="4">
        <v>7</v>
      </c>
      <c r="AF116" s="4">
        <v>2</v>
      </c>
      <c r="AG116" s="4">
        <v>2</v>
      </c>
      <c r="AH116" s="4">
        <v>0</v>
      </c>
      <c r="AI116" s="4">
        <v>1</v>
      </c>
      <c r="AJ116" s="4">
        <v>3</v>
      </c>
      <c r="AK116" s="4">
        <v>5</v>
      </c>
      <c r="AL116" s="4">
        <v>0</v>
      </c>
      <c r="AM116" s="4">
        <v>0</v>
      </c>
      <c r="AN116" s="4">
        <v>0</v>
      </c>
      <c r="AO116" s="4">
        <v>1</v>
      </c>
      <c r="AP116" s="3" t="s">
        <v>61</v>
      </c>
      <c r="AQ116" s="3" t="s">
        <v>59</v>
      </c>
      <c r="AR116" s="6" t="str">
        <f>HYPERLINK("http://catalog.hathitrust.org/Record/004538729","HathiTrust Record")</f>
        <v>HathiTrust Record</v>
      </c>
      <c r="AS116" s="6" t="str">
        <f>HYPERLINK("https://creighton-primo.hosted.exlibrisgroup.com/primo-explore/search?tab=default_tab&amp;search_scope=EVERYTHING&amp;vid=01CRU&amp;lang=en_US&amp;offset=0&amp;query=any,contains,991002688339702656","Catalog Record")</f>
        <v>Catalog Record</v>
      </c>
      <c r="AT116" s="6" t="str">
        <f>HYPERLINK("http://www.worldcat.org/oclc/35118450","WorldCat Record")</f>
        <v>WorldCat Record</v>
      </c>
      <c r="AU116" s="3" t="s">
        <v>1364</v>
      </c>
      <c r="AV116" s="3" t="s">
        <v>1365</v>
      </c>
      <c r="AW116" s="3" t="s">
        <v>1366</v>
      </c>
      <c r="AX116" s="3" t="s">
        <v>1366</v>
      </c>
      <c r="AY116" s="3" t="s">
        <v>1367</v>
      </c>
      <c r="AZ116" s="3" t="s">
        <v>75</v>
      </c>
      <c r="BB116" s="3" t="s">
        <v>1368</v>
      </c>
      <c r="BC116" s="3" t="s">
        <v>1369</v>
      </c>
      <c r="BD116" s="3" t="s">
        <v>1370</v>
      </c>
    </row>
    <row r="117" spans="1:56" ht="44.25" customHeight="1" x14ac:dyDescent="0.25">
      <c r="A117" s="7" t="s">
        <v>61</v>
      </c>
      <c r="B117" s="2" t="s">
        <v>1371</v>
      </c>
      <c r="C117" s="2" t="s">
        <v>1372</v>
      </c>
      <c r="D117" s="2" t="s">
        <v>1373</v>
      </c>
      <c r="F117" s="3" t="s">
        <v>61</v>
      </c>
      <c r="G117" s="3" t="s">
        <v>60</v>
      </c>
      <c r="H117" s="3" t="s">
        <v>61</v>
      </c>
      <c r="I117" s="3" t="s">
        <v>61</v>
      </c>
      <c r="J117" s="3" t="s">
        <v>62</v>
      </c>
      <c r="K117" s="2" t="s">
        <v>1374</v>
      </c>
      <c r="L117" s="2" t="s">
        <v>1375</v>
      </c>
      <c r="M117" s="3" t="s">
        <v>1376</v>
      </c>
      <c r="N117" s="2" t="s">
        <v>306</v>
      </c>
      <c r="O117" s="3" t="s">
        <v>114</v>
      </c>
      <c r="P117" s="3" t="s">
        <v>235</v>
      </c>
      <c r="R117" s="3" t="s">
        <v>68</v>
      </c>
      <c r="S117" s="4">
        <v>2</v>
      </c>
      <c r="T117" s="4">
        <v>2</v>
      </c>
      <c r="U117" s="5" t="s">
        <v>1377</v>
      </c>
      <c r="V117" s="5" t="s">
        <v>1377</v>
      </c>
      <c r="W117" s="5" t="s">
        <v>1090</v>
      </c>
      <c r="X117" s="5" t="s">
        <v>1090</v>
      </c>
      <c r="Y117" s="4">
        <v>1438</v>
      </c>
      <c r="Z117" s="4">
        <v>1288</v>
      </c>
      <c r="AA117" s="4">
        <v>1317</v>
      </c>
      <c r="AB117" s="4">
        <v>10</v>
      </c>
      <c r="AC117" s="4">
        <v>10</v>
      </c>
      <c r="AD117" s="4">
        <v>49</v>
      </c>
      <c r="AE117" s="4">
        <v>49</v>
      </c>
      <c r="AF117" s="4">
        <v>17</v>
      </c>
      <c r="AG117" s="4">
        <v>17</v>
      </c>
      <c r="AH117" s="4">
        <v>10</v>
      </c>
      <c r="AI117" s="4">
        <v>10</v>
      </c>
      <c r="AJ117" s="4">
        <v>26</v>
      </c>
      <c r="AK117" s="4">
        <v>26</v>
      </c>
      <c r="AL117" s="4">
        <v>9</v>
      </c>
      <c r="AM117" s="4">
        <v>9</v>
      </c>
      <c r="AN117" s="4">
        <v>1</v>
      </c>
      <c r="AO117" s="4">
        <v>1</v>
      </c>
      <c r="AP117" s="3" t="s">
        <v>61</v>
      </c>
      <c r="AQ117" s="3" t="s">
        <v>59</v>
      </c>
      <c r="AR117" s="6" t="str">
        <f>HYPERLINK("http://catalog.hathitrust.org/Record/000554732","HathiTrust Record")</f>
        <v>HathiTrust Record</v>
      </c>
      <c r="AS117" s="6" t="str">
        <f>HYPERLINK("https://creighton-primo.hosted.exlibrisgroup.com/primo-explore/search?tab=default_tab&amp;search_scope=EVERYTHING&amp;vid=01CRU&amp;lang=en_US&amp;offset=0&amp;query=any,contains,991000001009702656","Catalog Record")</f>
        <v>Catalog Record</v>
      </c>
      <c r="AT117" s="6" t="str">
        <f>HYPERLINK("http://www.worldcat.org/oclc/9864","WorldCat Record")</f>
        <v>WorldCat Record</v>
      </c>
      <c r="AU117" s="3" t="s">
        <v>1378</v>
      </c>
      <c r="AV117" s="3" t="s">
        <v>1379</v>
      </c>
      <c r="AW117" s="3" t="s">
        <v>1380</v>
      </c>
      <c r="AX117" s="3" t="s">
        <v>1380</v>
      </c>
      <c r="AY117" s="3" t="s">
        <v>1381</v>
      </c>
      <c r="AZ117" s="3" t="s">
        <v>75</v>
      </c>
      <c r="BC117" s="3" t="s">
        <v>1382</v>
      </c>
      <c r="BD117" s="3" t="s">
        <v>1383</v>
      </c>
    </row>
    <row r="118" spans="1:56" ht="44.25" customHeight="1" x14ac:dyDescent="0.25">
      <c r="A118" s="7" t="s">
        <v>61</v>
      </c>
      <c r="B118" s="2" t="s">
        <v>1384</v>
      </c>
      <c r="C118" s="2" t="s">
        <v>1385</v>
      </c>
      <c r="D118" s="2" t="s">
        <v>1386</v>
      </c>
      <c r="F118" s="3" t="s">
        <v>61</v>
      </c>
      <c r="G118" s="3" t="s">
        <v>60</v>
      </c>
      <c r="H118" s="3" t="s">
        <v>61</v>
      </c>
      <c r="I118" s="3" t="s">
        <v>61</v>
      </c>
      <c r="J118" s="3" t="s">
        <v>62</v>
      </c>
      <c r="L118" s="2" t="s">
        <v>1387</v>
      </c>
      <c r="M118" s="3" t="s">
        <v>466</v>
      </c>
      <c r="O118" s="3" t="s">
        <v>114</v>
      </c>
      <c r="P118" s="3" t="s">
        <v>1033</v>
      </c>
      <c r="R118" s="3" t="s">
        <v>68</v>
      </c>
      <c r="S118" s="4">
        <v>2</v>
      </c>
      <c r="T118" s="4">
        <v>2</v>
      </c>
      <c r="U118" s="5" t="s">
        <v>1388</v>
      </c>
      <c r="V118" s="5" t="s">
        <v>1388</v>
      </c>
      <c r="W118" s="5" t="s">
        <v>607</v>
      </c>
      <c r="X118" s="5" t="s">
        <v>607</v>
      </c>
      <c r="Y118" s="4">
        <v>801</v>
      </c>
      <c r="Z118" s="4">
        <v>643</v>
      </c>
      <c r="AA118" s="4">
        <v>645</v>
      </c>
      <c r="AB118" s="4">
        <v>3</v>
      </c>
      <c r="AC118" s="4">
        <v>3</v>
      </c>
      <c r="AD118" s="4">
        <v>33</v>
      </c>
      <c r="AE118" s="4">
        <v>33</v>
      </c>
      <c r="AF118" s="4">
        <v>15</v>
      </c>
      <c r="AG118" s="4">
        <v>15</v>
      </c>
      <c r="AH118" s="4">
        <v>11</v>
      </c>
      <c r="AI118" s="4">
        <v>11</v>
      </c>
      <c r="AJ118" s="4">
        <v>15</v>
      </c>
      <c r="AK118" s="4">
        <v>15</v>
      </c>
      <c r="AL118" s="4">
        <v>2</v>
      </c>
      <c r="AM118" s="4">
        <v>2</v>
      </c>
      <c r="AN118" s="4">
        <v>0</v>
      </c>
      <c r="AO118" s="4">
        <v>0</v>
      </c>
      <c r="AP118" s="3" t="s">
        <v>61</v>
      </c>
      <c r="AQ118" s="3" t="s">
        <v>59</v>
      </c>
      <c r="AR118" s="6" t="str">
        <f>HYPERLINK("http://catalog.hathitrust.org/Record/000132664","HathiTrust Record")</f>
        <v>HathiTrust Record</v>
      </c>
      <c r="AS118" s="6" t="str">
        <f>HYPERLINK("https://creighton-primo.hosted.exlibrisgroup.com/primo-explore/search?tab=default_tab&amp;search_scope=EVERYTHING&amp;vid=01CRU&amp;lang=en_US&amp;offset=0&amp;query=any,contains,991004507779702656","Catalog Record")</f>
        <v>Catalog Record</v>
      </c>
      <c r="AT118" s="6" t="str">
        <f>HYPERLINK("http://www.worldcat.org/oclc/3748290","WorldCat Record")</f>
        <v>WorldCat Record</v>
      </c>
      <c r="AU118" s="3" t="s">
        <v>1389</v>
      </c>
      <c r="AV118" s="3" t="s">
        <v>1390</v>
      </c>
      <c r="AW118" s="3" t="s">
        <v>1391</v>
      </c>
      <c r="AX118" s="3" t="s">
        <v>1391</v>
      </c>
      <c r="AY118" s="3" t="s">
        <v>1392</v>
      </c>
      <c r="AZ118" s="3" t="s">
        <v>75</v>
      </c>
      <c r="BB118" s="3" t="s">
        <v>1393</v>
      </c>
      <c r="BC118" s="3" t="s">
        <v>1394</v>
      </c>
      <c r="BD118" s="3" t="s">
        <v>1395</v>
      </c>
    </row>
    <row r="119" spans="1:56" ht="44.25" customHeight="1" x14ac:dyDescent="0.25">
      <c r="A119" s="7" t="s">
        <v>61</v>
      </c>
      <c r="B119" s="2" t="s">
        <v>1396</v>
      </c>
      <c r="C119" s="2" t="s">
        <v>1397</v>
      </c>
      <c r="D119" s="2" t="s">
        <v>1398</v>
      </c>
      <c r="F119" s="3" t="s">
        <v>61</v>
      </c>
      <c r="G119" s="3" t="s">
        <v>60</v>
      </c>
      <c r="H119" s="3" t="s">
        <v>61</v>
      </c>
      <c r="I119" s="3" t="s">
        <v>61</v>
      </c>
      <c r="J119" s="3" t="s">
        <v>62</v>
      </c>
      <c r="K119" s="2" t="s">
        <v>1399</v>
      </c>
      <c r="L119" s="2" t="s">
        <v>1400</v>
      </c>
      <c r="M119" s="3" t="s">
        <v>436</v>
      </c>
      <c r="O119" s="3" t="s">
        <v>114</v>
      </c>
      <c r="P119" s="3" t="s">
        <v>437</v>
      </c>
      <c r="Q119" s="2" t="s">
        <v>1401</v>
      </c>
      <c r="R119" s="3" t="s">
        <v>68</v>
      </c>
      <c r="S119" s="4">
        <v>4</v>
      </c>
      <c r="T119" s="4">
        <v>4</v>
      </c>
      <c r="U119" s="5" t="s">
        <v>1402</v>
      </c>
      <c r="V119" s="5" t="s">
        <v>1402</v>
      </c>
      <c r="W119" s="5" t="s">
        <v>1403</v>
      </c>
      <c r="X119" s="5" t="s">
        <v>1403</v>
      </c>
      <c r="Y119" s="4">
        <v>563</v>
      </c>
      <c r="Z119" s="4">
        <v>457</v>
      </c>
      <c r="AA119" s="4">
        <v>571</v>
      </c>
      <c r="AB119" s="4">
        <v>2</v>
      </c>
      <c r="AC119" s="4">
        <v>3</v>
      </c>
      <c r="AD119" s="4">
        <v>22</v>
      </c>
      <c r="AE119" s="4">
        <v>28</v>
      </c>
      <c r="AF119" s="4">
        <v>9</v>
      </c>
      <c r="AG119" s="4">
        <v>10</v>
      </c>
      <c r="AH119" s="4">
        <v>6</v>
      </c>
      <c r="AI119" s="4">
        <v>10</v>
      </c>
      <c r="AJ119" s="4">
        <v>9</v>
      </c>
      <c r="AK119" s="4">
        <v>13</v>
      </c>
      <c r="AL119" s="4">
        <v>1</v>
      </c>
      <c r="AM119" s="4">
        <v>2</v>
      </c>
      <c r="AN119" s="4">
        <v>0</v>
      </c>
      <c r="AO119" s="4">
        <v>0</v>
      </c>
      <c r="AP119" s="3" t="s">
        <v>61</v>
      </c>
      <c r="AQ119" s="3" t="s">
        <v>61</v>
      </c>
      <c r="AS119" s="6" t="str">
        <f>HYPERLINK("https://creighton-primo.hosted.exlibrisgroup.com/primo-explore/search?tab=default_tab&amp;search_scope=EVERYTHING&amp;vid=01CRU&amp;lang=en_US&amp;offset=0&amp;query=any,contains,991001864069702656","Catalog Record")</f>
        <v>Catalog Record</v>
      </c>
      <c r="AT119" s="6" t="str">
        <f>HYPERLINK("http://www.worldcat.org/oclc/23444056","WorldCat Record")</f>
        <v>WorldCat Record</v>
      </c>
      <c r="AU119" s="3" t="s">
        <v>1404</v>
      </c>
      <c r="AV119" s="3" t="s">
        <v>1405</v>
      </c>
      <c r="AW119" s="3" t="s">
        <v>1406</v>
      </c>
      <c r="AX119" s="3" t="s">
        <v>1406</v>
      </c>
      <c r="AY119" s="3" t="s">
        <v>1407</v>
      </c>
      <c r="AZ119" s="3" t="s">
        <v>75</v>
      </c>
      <c r="BB119" s="3" t="s">
        <v>1408</v>
      </c>
      <c r="BC119" s="3" t="s">
        <v>1409</v>
      </c>
      <c r="BD119" s="3" t="s">
        <v>1410</v>
      </c>
    </row>
    <row r="120" spans="1:56" ht="44.25" customHeight="1" x14ac:dyDescent="0.25">
      <c r="A120" s="7" t="s">
        <v>61</v>
      </c>
      <c r="B120" s="2" t="s">
        <v>1411</v>
      </c>
      <c r="C120" s="2" t="s">
        <v>1412</v>
      </c>
      <c r="D120" s="2" t="s">
        <v>1413</v>
      </c>
      <c r="F120" s="3" t="s">
        <v>61</v>
      </c>
      <c r="G120" s="3" t="s">
        <v>60</v>
      </c>
      <c r="H120" s="3" t="s">
        <v>61</v>
      </c>
      <c r="I120" s="3" t="s">
        <v>61</v>
      </c>
      <c r="J120" s="3" t="s">
        <v>62</v>
      </c>
      <c r="L120" s="2" t="s">
        <v>1414</v>
      </c>
      <c r="M120" s="3" t="s">
        <v>234</v>
      </c>
      <c r="O120" s="3" t="s">
        <v>114</v>
      </c>
      <c r="P120" s="3" t="s">
        <v>649</v>
      </c>
      <c r="R120" s="3" t="s">
        <v>68</v>
      </c>
      <c r="S120" s="4">
        <v>1</v>
      </c>
      <c r="T120" s="4">
        <v>1</v>
      </c>
      <c r="U120" s="5" t="s">
        <v>481</v>
      </c>
      <c r="V120" s="5" t="s">
        <v>481</v>
      </c>
      <c r="W120" s="5" t="s">
        <v>607</v>
      </c>
      <c r="X120" s="5" t="s">
        <v>607</v>
      </c>
      <c r="Y120" s="4">
        <v>451</v>
      </c>
      <c r="Z120" s="4">
        <v>404</v>
      </c>
      <c r="AA120" s="4">
        <v>409</v>
      </c>
      <c r="AB120" s="4">
        <v>5</v>
      </c>
      <c r="AC120" s="4">
        <v>5</v>
      </c>
      <c r="AD120" s="4">
        <v>22</v>
      </c>
      <c r="AE120" s="4">
        <v>22</v>
      </c>
      <c r="AF120" s="4">
        <v>7</v>
      </c>
      <c r="AG120" s="4">
        <v>7</v>
      </c>
      <c r="AH120" s="4">
        <v>5</v>
      </c>
      <c r="AI120" s="4">
        <v>5</v>
      </c>
      <c r="AJ120" s="4">
        <v>10</v>
      </c>
      <c r="AK120" s="4">
        <v>10</v>
      </c>
      <c r="AL120" s="4">
        <v>4</v>
      </c>
      <c r="AM120" s="4">
        <v>4</v>
      </c>
      <c r="AN120" s="4">
        <v>1</v>
      </c>
      <c r="AO120" s="4">
        <v>1</v>
      </c>
      <c r="AP120" s="3" t="s">
        <v>61</v>
      </c>
      <c r="AQ120" s="3" t="s">
        <v>61</v>
      </c>
      <c r="AS120" s="6" t="str">
        <f>HYPERLINK("https://creighton-primo.hosted.exlibrisgroup.com/primo-explore/search?tab=default_tab&amp;search_scope=EVERYTHING&amp;vid=01CRU&amp;lang=en_US&amp;offset=0&amp;query=any,contains,991000152789702656","Catalog Record")</f>
        <v>Catalog Record</v>
      </c>
      <c r="AT120" s="6" t="str">
        <f>HYPERLINK("http://www.worldcat.org/oclc/9217941","WorldCat Record")</f>
        <v>WorldCat Record</v>
      </c>
      <c r="AU120" s="3" t="s">
        <v>1415</v>
      </c>
      <c r="AV120" s="3" t="s">
        <v>1416</v>
      </c>
      <c r="AW120" s="3" t="s">
        <v>1417</v>
      </c>
      <c r="AX120" s="3" t="s">
        <v>1417</v>
      </c>
      <c r="AY120" s="3" t="s">
        <v>1418</v>
      </c>
      <c r="AZ120" s="3" t="s">
        <v>75</v>
      </c>
      <c r="BB120" s="3" t="s">
        <v>1419</v>
      </c>
      <c r="BC120" s="3" t="s">
        <v>1420</v>
      </c>
      <c r="BD120" s="3" t="s">
        <v>1421</v>
      </c>
    </row>
    <row r="121" spans="1:56" ht="44.25" customHeight="1" x14ac:dyDescent="0.25">
      <c r="A121" s="7" t="s">
        <v>61</v>
      </c>
      <c r="B121" s="2" t="s">
        <v>1422</v>
      </c>
      <c r="C121" s="2" t="s">
        <v>1423</v>
      </c>
      <c r="D121" s="2" t="s">
        <v>1424</v>
      </c>
      <c r="F121" s="3" t="s">
        <v>61</v>
      </c>
      <c r="G121" s="3" t="s">
        <v>60</v>
      </c>
      <c r="H121" s="3" t="s">
        <v>61</v>
      </c>
      <c r="I121" s="3" t="s">
        <v>61</v>
      </c>
      <c r="J121" s="3" t="s">
        <v>62</v>
      </c>
      <c r="K121" s="2" t="s">
        <v>1425</v>
      </c>
      <c r="L121" s="2" t="s">
        <v>1426</v>
      </c>
      <c r="M121" s="3" t="s">
        <v>305</v>
      </c>
      <c r="O121" s="3" t="s">
        <v>114</v>
      </c>
      <c r="P121" s="3" t="s">
        <v>235</v>
      </c>
      <c r="R121" s="3" t="s">
        <v>68</v>
      </c>
      <c r="S121" s="4">
        <v>1</v>
      </c>
      <c r="T121" s="4">
        <v>1</v>
      </c>
      <c r="U121" s="5" t="s">
        <v>1427</v>
      </c>
      <c r="V121" s="5" t="s">
        <v>1427</v>
      </c>
      <c r="W121" s="5" t="s">
        <v>131</v>
      </c>
      <c r="X121" s="5" t="s">
        <v>131</v>
      </c>
      <c r="Y121" s="4">
        <v>329</v>
      </c>
      <c r="Z121" s="4">
        <v>315</v>
      </c>
      <c r="AA121" s="4">
        <v>667</v>
      </c>
      <c r="AB121" s="4">
        <v>5</v>
      </c>
      <c r="AC121" s="4">
        <v>7</v>
      </c>
      <c r="AD121" s="4">
        <v>15</v>
      </c>
      <c r="AE121" s="4">
        <v>32</v>
      </c>
      <c r="AF121" s="4">
        <v>5</v>
      </c>
      <c r="AG121" s="4">
        <v>11</v>
      </c>
      <c r="AH121" s="4">
        <v>2</v>
      </c>
      <c r="AI121" s="4">
        <v>7</v>
      </c>
      <c r="AJ121" s="4">
        <v>8</v>
      </c>
      <c r="AK121" s="4">
        <v>17</v>
      </c>
      <c r="AL121" s="4">
        <v>3</v>
      </c>
      <c r="AM121" s="4">
        <v>5</v>
      </c>
      <c r="AN121" s="4">
        <v>0</v>
      </c>
      <c r="AO121" s="4">
        <v>0</v>
      </c>
      <c r="AP121" s="3" t="s">
        <v>61</v>
      </c>
      <c r="AQ121" s="3" t="s">
        <v>59</v>
      </c>
      <c r="AR121" s="6" t="str">
        <f>HYPERLINK("http://catalog.hathitrust.org/Record/102071810","HathiTrust Record")</f>
        <v>HathiTrust Record</v>
      </c>
      <c r="AS121" s="6" t="str">
        <f>HYPERLINK("https://creighton-primo.hosted.exlibrisgroup.com/primo-explore/search?tab=default_tab&amp;search_scope=EVERYTHING&amp;vid=01CRU&amp;lang=en_US&amp;offset=0&amp;query=any,contains,991002735679702656","Catalog Record")</f>
        <v>Catalog Record</v>
      </c>
      <c r="AT121" s="6" t="str">
        <f>HYPERLINK("http://www.worldcat.org/oclc/419172","WorldCat Record")</f>
        <v>WorldCat Record</v>
      </c>
      <c r="AU121" s="3" t="s">
        <v>1428</v>
      </c>
      <c r="AV121" s="3" t="s">
        <v>1429</v>
      </c>
      <c r="AW121" s="3" t="s">
        <v>1430</v>
      </c>
      <c r="AX121" s="3" t="s">
        <v>1430</v>
      </c>
      <c r="AY121" s="3" t="s">
        <v>1431</v>
      </c>
      <c r="AZ121" s="3" t="s">
        <v>75</v>
      </c>
      <c r="BC121" s="3" t="s">
        <v>1432</v>
      </c>
      <c r="BD121" s="3" t="s">
        <v>1433</v>
      </c>
    </row>
    <row r="122" spans="1:56" ht="44.25" customHeight="1" x14ac:dyDescent="0.25">
      <c r="A122" s="7" t="s">
        <v>61</v>
      </c>
      <c r="B122" s="2" t="s">
        <v>1434</v>
      </c>
      <c r="C122" s="2" t="s">
        <v>1435</v>
      </c>
      <c r="D122" s="2" t="s">
        <v>1436</v>
      </c>
      <c r="F122" s="3" t="s">
        <v>61</v>
      </c>
      <c r="G122" s="3" t="s">
        <v>60</v>
      </c>
      <c r="H122" s="3" t="s">
        <v>61</v>
      </c>
      <c r="I122" s="3" t="s">
        <v>61</v>
      </c>
      <c r="J122" s="3" t="s">
        <v>62</v>
      </c>
      <c r="K122" s="2" t="s">
        <v>1437</v>
      </c>
      <c r="L122" s="2" t="s">
        <v>1438</v>
      </c>
      <c r="M122" s="3" t="s">
        <v>770</v>
      </c>
      <c r="O122" s="3" t="s">
        <v>114</v>
      </c>
      <c r="P122" s="3" t="s">
        <v>1439</v>
      </c>
      <c r="R122" s="3" t="s">
        <v>68</v>
      </c>
      <c r="S122" s="4">
        <v>4</v>
      </c>
      <c r="T122" s="4">
        <v>4</v>
      </c>
      <c r="U122" s="5" t="s">
        <v>994</v>
      </c>
      <c r="V122" s="5" t="s">
        <v>994</v>
      </c>
      <c r="W122" s="5" t="s">
        <v>131</v>
      </c>
      <c r="X122" s="5" t="s">
        <v>131</v>
      </c>
      <c r="Y122" s="4">
        <v>576</v>
      </c>
      <c r="Z122" s="4">
        <v>517</v>
      </c>
      <c r="AA122" s="4">
        <v>517</v>
      </c>
      <c r="AB122" s="4">
        <v>5</v>
      </c>
      <c r="AC122" s="4">
        <v>5</v>
      </c>
      <c r="AD122" s="4">
        <v>30</v>
      </c>
      <c r="AE122" s="4">
        <v>30</v>
      </c>
      <c r="AF122" s="4">
        <v>11</v>
      </c>
      <c r="AG122" s="4">
        <v>11</v>
      </c>
      <c r="AH122" s="4">
        <v>5</v>
      </c>
      <c r="AI122" s="4">
        <v>5</v>
      </c>
      <c r="AJ122" s="4">
        <v>16</v>
      </c>
      <c r="AK122" s="4">
        <v>16</v>
      </c>
      <c r="AL122" s="4">
        <v>4</v>
      </c>
      <c r="AM122" s="4">
        <v>4</v>
      </c>
      <c r="AN122" s="4">
        <v>1</v>
      </c>
      <c r="AO122" s="4">
        <v>1</v>
      </c>
      <c r="AP122" s="3" t="s">
        <v>61</v>
      </c>
      <c r="AQ122" s="3" t="s">
        <v>61</v>
      </c>
      <c r="AS122" s="6" t="str">
        <f>HYPERLINK("https://creighton-primo.hosted.exlibrisgroup.com/primo-explore/search?tab=default_tab&amp;search_scope=EVERYTHING&amp;vid=01CRU&amp;lang=en_US&amp;offset=0&amp;query=any,contains,991003931169702656","Catalog Record")</f>
        <v>Catalog Record</v>
      </c>
      <c r="AT122" s="6" t="str">
        <f>HYPERLINK("http://www.worldcat.org/oclc/1898252","WorldCat Record")</f>
        <v>WorldCat Record</v>
      </c>
      <c r="AU122" s="3" t="s">
        <v>1440</v>
      </c>
      <c r="AV122" s="3" t="s">
        <v>1441</v>
      </c>
      <c r="AW122" s="3" t="s">
        <v>1442</v>
      </c>
      <c r="AX122" s="3" t="s">
        <v>1442</v>
      </c>
      <c r="AY122" s="3" t="s">
        <v>1443</v>
      </c>
      <c r="AZ122" s="3" t="s">
        <v>75</v>
      </c>
      <c r="BB122" s="3" t="s">
        <v>1444</v>
      </c>
      <c r="BC122" s="3" t="s">
        <v>1445</v>
      </c>
      <c r="BD122" s="3" t="s">
        <v>1446</v>
      </c>
    </row>
    <row r="123" spans="1:56" ht="44.25" customHeight="1" x14ac:dyDescent="0.25">
      <c r="A123" s="7" t="s">
        <v>61</v>
      </c>
      <c r="B123" s="2" t="s">
        <v>1447</v>
      </c>
      <c r="C123" s="2" t="s">
        <v>1448</v>
      </c>
      <c r="D123" s="2" t="s">
        <v>1449</v>
      </c>
      <c r="F123" s="3" t="s">
        <v>61</v>
      </c>
      <c r="G123" s="3" t="s">
        <v>60</v>
      </c>
      <c r="H123" s="3" t="s">
        <v>61</v>
      </c>
      <c r="I123" s="3" t="s">
        <v>61</v>
      </c>
      <c r="J123" s="3" t="s">
        <v>62</v>
      </c>
      <c r="K123" s="2" t="s">
        <v>1450</v>
      </c>
      <c r="L123" s="2" t="s">
        <v>993</v>
      </c>
      <c r="M123" s="3" t="s">
        <v>495</v>
      </c>
      <c r="O123" s="3" t="s">
        <v>114</v>
      </c>
      <c r="P123" s="3" t="s">
        <v>192</v>
      </c>
      <c r="Q123" s="2" t="s">
        <v>1451</v>
      </c>
      <c r="R123" s="3" t="s">
        <v>68</v>
      </c>
      <c r="S123" s="4">
        <v>1</v>
      </c>
      <c r="T123" s="4">
        <v>1</v>
      </c>
      <c r="U123" s="5" t="s">
        <v>1452</v>
      </c>
      <c r="V123" s="5" t="s">
        <v>1452</v>
      </c>
      <c r="W123" s="5" t="s">
        <v>1453</v>
      </c>
      <c r="X123" s="5" t="s">
        <v>1453</v>
      </c>
      <c r="Y123" s="4">
        <v>833</v>
      </c>
      <c r="Z123" s="4">
        <v>713</v>
      </c>
      <c r="AA123" s="4">
        <v>828</v>
      </c>
      <c r="AB123" s="4">
        <v>2</v>
      </c>
      <c r="AC123" s="4">
        <v>3</v>
      </c>
      <c r="AD123" s="4">
        <v>31</v>
      </c>
      <c r="AE123" s="4">
        <v>35</v>
      </c>
      <c r="AF123" s="4">
        <v>14</v>
      </c>
      <c r="AG123" s="4">
        <v>15</v>
      </c>
      <c r="AH123" s="4">
        <v>9</v>
      </c>
      <c r="AI123" s="4">
        <v>9</v>
      </c>
      <c r="AJ123" s="4">
        <v>16</v>
      </c>
      <c r="AK123" s="4">
        <v>19</v>
      </c>
      <c r="AL123" s="4">
        <v>1</v>
      </c>
      <c r="AM123" s="4">
        <v>2</v>
      </c>
      <c r="AN123" s="4">
        <v>0</v>
      </c>
      <c r="AO123" s="4">
        <v>0</v>
      </c>
      <c r="AP123" s="3" t="s">
        <v>61</v>
      </c>
      <c r="AQ123" s="3" t="s">
        <v>61</v>
      </c>
      <c r="AS123" s="6" t="str">
        <f>HYPERLINK("https://creighton-primo.hosted.exlibrisgroup.com/primo-explore/search?tab=default_tab&amp;search_scope=EVERYTHING&amp;vid=01CRU&amp;lang=en_US&amp;offset=0&amp;query=any,contains,991002613269702656","Catalog Record")</f>
        <v>Catalog Record</v>
      </c>
      <c r="AT123" s="6" t="str">
        <f>HYPERLINK("http://www.worldcat.org/oclc/34245226","WorldCat Record")</f>
        <v>WorldCat Record</v>
      </c>
      <c r="AU123" s="3" t="s">
        <v>1454</v>
      </c>
      <c r="AV123" s="3" t="s">
        <v>1455</v>
      </c>
      <c r="AW123" s="3" t="s">
        <v>1456</v>
      </c>
      <c r="AX123" s="3" t="s">
        <v>1456</v>
      </c>
      <c r="AY123" s="3" t="s">
        <v>1457</v>
      </c>
      <c r="AZ123" s="3" t="s">
        <v>75</v>
      </c>
      <c r="BB123" s="3" t="s">
        <v>1458</v>
      </c>
      <c r="BC123" s="3" t="s">
        <v>1459</v>
      </c>
      <c r="BD123" s="3" t="s">
        <v>1460</v>
      </c>
    </row>
    <row r="124" spans="1:56" ht="44.25" customHeight="1" x14ac:dyDescent="0.25">
      <c r="A124" s="7" t="s">
        <v>61</v>
      </c>
      <c r="B124" s="2" t="s">
        <v>1461</v>
      </c>
      <c r="C124" s="2" t="s">
        <v>1462</v>
      </c>
      <c r="D124" s="2" t="s">
        <v>1463</v>
      </c>
      <c r="F124" s="3" t="s">
        <v>61</v>
      </c>
      <c r="G124" s="3" t="s">
        <v>60</v>
      </c>
      <c r="H124" s="3" t="s">
        <v>61</v>
      </c>
      <c r="I124" s="3" t="s">
        <v>61</v>
      </c>
      <c r="J124" s="3" t="s">
        <v>62</v>
      </c>
      <c r="K124" s="2" t="s">
        <v>1450</v>
      </c>
      <c r="L124" s="2" t="s">
        <v>1464</v>
      </c>
      <c r="M124" s="3" t="s">
        <v>1465</v>
      </c>
      <c r="O124" s="3" t="s">
        <v>114</v>
      </c>
      <c r="P124" s="3" t="s">
        <v>192</v>
      </c>
      <c r="Q124" s="2" t="s">
        <v>1466</v>
      </c>
      <c r="R124" s="3" t="s">
        <v>68</v>
      </c>
      <c r="S124" s="4">
        <v>2</v>
      </c>
      <c r="T124" s="4">
        <v>2</v>
      </c>
      <c r="U124" s="5" t="s">
        <v>1467</v>
      </c>
      <c r="V124" s="5" t="s">
        <v>1467</v>
      </c>
      <c r="W124" s="5" t="s">
        <v>1468</v>
      </c>
      <c r="X124" s="5" t="s">
        <v>1468</v>
      </c>
      <c r="Y124" s="4">
        <v>507</v>
      </c>
      <c r="Z124" s="4">
        <v>377</v>
      </c>
      <c r="AA124" s="4">
        <v>460</v>
      </c>
      <c r="AB124" s="4">
        <v>3</v>
      </c>
      <c r="AC124" s="4">
        <v>3</v>
      </c>
      <c r="AD124" s="4">
        <v>26</v>
      </c>
      <c r="AE124" s="4">
        <v>29</v>
      </c>
      <c r="AF124" s="4">
        <v>9</v>
      </c>
      <c r="AG124" s="4">
        <v>11</v>
      </c>
      <c r="AH124" s="4">
        <v>8</v>
      </c>
      <c r="AI124" s="4">
        <v>9</v>
      </c>
      <c r="AJ124" s="4">
        <v>16</v>
      </c>
      <c r="AK124" s="4">
        <v>16</v>
      </c>
      <c r="AL124" s="4">
        <v>2</v>
      </c>
      <c r="AM124" s="4">
        <v>2</v>
      </c>
      <c r="AN124" s="4">
        <v>0</v>
      </c>
      <c r="AO124" s="4">
        <v>0</v>
      </c>
      <c r="AP124" s="3" t="s">
        <v>61</v>
      </c>
      <c r="AQ124" s="3" t="s">
        <v>59</v>
      </c>
      <c r="AR124" s="6" t="str">
        <f>HYPERLINK("http://catalog.hathitrust.org/Record/002521701","HathiTrust Record")</f>
        <v>HathiTrust Record</v>
      </c>
      <c r="AS124" s="6" t="str">
        <f>HYPERLINK("https://creighton-primo.hosted.exlibrisgroup.com/primo-explore/search?tab=default_tab&amp;search_scope=EVERYTHING&amp;vid=01CRU&amp;lang=en_US&amp;offset=0&amp;query=any,contains,991001866609702656","Catalog Record")</f>
        <v>Catalog Record</v>
      </c>
      <c r="AT124" s="6" t="str">
        <f>HYPERLINK("http://www.worldcat.org/oclc/23463571","WorldCat Record")</f>
        <v>WorldCat Record</v>
      </c>
      <c r="AU124" s="3" t="s">
        <v>1469</v>
      </c>
      <c r="AV124" s="3" t="s">
        <v>1470</v>
      </c>
      <c r="AW124" s="3" t="s">
        <v>1471</v>
      </c>
      <c r="AX124" s="3" t="s">
        <v>1471</v>
      </c>
      <c r="AY124" s="3" t="s">
        <v>1472</v>
      </c>
      <c r="AZ124" s="3" t="s">
        <v>75</v>
      </c>
      <c r="BB124" s="3" t="s">
        <v>1473</v>
      </c>
      <c r="BC124" s="3" t="s">
        <v>1474</v>
      </c>
      <c r="BD124" s="3" t="s">
        <v>1475</v>
      </c>
    </row>
    <row r="125" spans="1:56" ht="44.25" customHeight="1" x14ac:dyDescent="0.25">
      <c r="A125" s="7" t="s">
        <v>61</v>
      </c>
      <c r="B125" s="2" t="s">
        <v>1476</v>
      </c>
      <c r="C125" s="2" t="s">
        <v>1477</v>
      </c>
      <c r="D125" s="2" t="s">
        <v>1478</v>
      </c>
      <c r="F125" s="3" t="s">
        <v>61</v>
      </c>
      <c r="G125" s="3" t="s">
        <v>60</v>
      </c>
      <c r="H125" s="3" t="s">
        <v>61</v>
      </c>
      <c r="I125" s="3" t="s">
        <v>61</v>
      </c>
      <c r="J125" s="3" t="s">
        <v>62</v>
      </c>
      <c r="K125" s="2" t="s">
        <v>1479</v>
      </c>
      <c r="L125" s="2" t="s">
        <v>1480</v>
      </c>
      <c r="M125" s="3" t="s">
        <v>263</v>
      </c>
      <c r="O125" s="3" t="s">
        <v>114</v>
      </c>
      <c r="P125" s="3" t="s">
        <v>235</v>
      </c>
      <c r="R125" s="3" t="s">
        <v>68</v>
      </c>
      <c r="S125" s="4">
        <v>6</v>
      </c>
      <c r="T125" s="4">
        <v>6</v>
      </c>
      <c r="U125" s="5" t="s">
        <v>1481</v>
      </c>
      <c r="V125" s="5" t="s">
        <v>1481</v>
      </c>
      <c r="W125" s="5" t="s">
        <v>607</v>
      </c>
      <c r="X125" s="5" t="s">
        <v>607</v>
      </c>
      <c r="Y125" s="4">
        <v>829</v>
      </c>
      <c r="Z125" s="4">
        <v>742</v>
      </c>
      <c r="AA125" s="4">
        <v>744</v>
      </c>
      <c r="AB125" s="4">
        <v>4</v>
      </c>
      <c r="AC125" s="4">
        <v>4</v>
      </c>
      <c r="AD125" s="4">
        <v>23</v>
      </c>
      <c r="AE125" s="4">
        <v>23</v>
      </c>
      <c r="AF125" s="4">
        <v>7</v>
      </c>
      <c r="AG125" s="4">
        <v>7</v>
      </c>
      <c r="AH125" s="4">
        <v>7</v>
      </c>
      <c r="AI125" s="4">
        <v>7</v>
      </c>
      <c r="AJ125" s="4">
        <v>12</v>
      </c>
      <c r="AK125" s="4">
        <v>12</v>
      </c>
      <c r="AL125" s="4">
        <v>3</v>
      </c>
      <c r="AM125" s="4">
        <v>3</v>
      </c>
      <c r="AN125" s="4">
        <v>0</v>
      </c>
      <c r="AO125" s="4">
        <v>0</v>
      </c>
      <c r="AP125" s="3" t="s">
        <v>61</v>
      </c>
      <c r="AQ125" s="3" t="s">
        <v>59</v>
      </c>
      <c r="AR125" s="6" t="str">
        <f>HYPERLINK("http://catalog.hathitrust.org/Record/000312301","HathiTrust Record")</f>
        <v>HathiTrust Record</v>
      </c>
      <c r="AS125" s="6" t="str">
        <f>HYPERLINK("https://creighton-primo.hosted.exlibrisgroup.com/primo-explore/search?tab=default_tab&amp;search_scope=EVERYTHING&amp;vid=01CRU&amp;lang=en_US&amp;offset=0&amp;query=any,contains,991005232309702656","Catalog Record")</f>
        <v>Catalog Record</v>
      </c>
      <c r="AT125" s="6" t="str">
        <f>HYPERLINK("http://www.worldcat.org/oclc/8345175","WorldCat Record")</f>
        <v>WorldCat Record</v>
      </c>
      <c r="AU125" s="3" t="s">
        <v>1482</v>
      </c>
      <c r="AV125" s="3" t="s">
        <v>1483</v>
      </c>
      <c r="AW125" s="3" t="s">
        <v>1484</v>
      </c>
      <c r="AX125" s="3" t="s">
        <v>1484</v>
      </c>
      <c r="AY125" s="3" t="s">
        <v>1485</v>
      </c>
      <c r="AZ125" s="3" t="s">
        <v>75</v>
      </c>
      <c r="BB125" s="3" t="s">
        <v>1486</v>
      </c>
      <c r="BC125" s="3" t="s">
        <v>1487</v>
      </c>
      <c r="BD125" s="3" t="s">
        <v>1488</v>
      </c>
    </row>
    <row r="126" spans="1:56" ht="44.25" customHeight="1" x14ac:dyDescent="0.25">
      <c r="A126" s="7" t="s">
        <v>61</v>
      </c>
      <c r="B126" s="2" t="s">
        <v>1489</v>
      </c>
      <c r="C126" s="2" t="s">
        <v>1490</v>
      </c>
      <c r="D126" s="2" t="s">
        <v>1491</v>
      </c>
      <c r="F126" s="3" t="s">
        <v>61</v>
      </c>
      <c r="G126" s="3" t="s">
        <v>60</v>
      </c>
      <c r="H126" s="3" t="s">
        <v>61</v>
      </c>
      <c r="I126" s="3" t="s">
        <v>61</v>
      </c>
      <c r="J126" s="3" t="s">
        <v>62</v>
      </c>
      <c r="K126" s="2" t="s">
        <v>1492</v>
      </c>
      <c r="L126" s="2" t="s">
        <v>1493</v>
      </c>
      <c r="M126" s="3" t="s">
        <v>579</v>
      </c>
      <c r="O126" s="3" t="s">
        <v>114</v>
      </c>
      <c r="P126" s="3" t="s">
        <v>1494</v>
      </c>
      <c r="R126" s="3" t="s">
        <v>68</v>
      </c>
      <c r="S126" s="4">
        <v>3</v>
      </c>
      <c r="T126" s="4">
        <v>3</v>
      </c>
      <c r="U126" s="5" t="s">
        <v>1481</v>
      </c>
      <c r="V126" s="5" t="s">
        <v>1481</v>
      </c>
      <c r="W126" s="5" t="s">
        <v>1495</v>
      </c>
      <c r="X126" s="5" t="s">
        <v>1495</v>
      </c>
      <c r="Y126" s="4">
        <v>607</v>
      </c>
      <c r="Z126" s="4">
        <v>497</v>
      </c>
      <c r="AA126" s="4">
        <v>505</v>
      </c>
      <c r="AB126" s="4">
        <v>6</v>
      </c>
      <c r="AC126" s="4">
        <v>6</v>
      </c>
      <c r="AD126" s="4">
        <v>30</v>
      </c>
      <c r="AE126" s="4">
        <v>30</v>
      </c>
      <c r="AF126" s="4">
        <v>13</v>
      </c>
      <c r="AG126" s="4">
        <v>13</v>
      </c>
      <c r="AH126" s="4">
        <v>6</v>
      </c>
      <c r="AI126" s="4">
        <v>6</v>
      </c>
      <c r="AJ126" s="4">
        <v>16</v>
      </c>
      <c r="AK126" s="4">
        <v>16</v>
      </c>
      <c r="AL126" s="4">
        <v>5</v>
      </c>
      <c r="AM126" s="4">
        <v>5</v>
      </c>
      <c r="AN126" s="4">
        <v>0</v>
      </c>
      <c r="AO126" s="4">
        <v>0</v>
      </c>
      <c r="AP126" s="3" t="s">
        <v>61</v>
      </c>
      <c r="AQ126" s="3" t="s">
        <v>59</v>
      </c>
      <c r="AR126" s="6" t="str">
        <f>HYPERLINK("http://catalog.hathitrust.org/Record/000238199","HathiTrust Record")</f>
        <v>HathiTrust Record</v>
      </c>
      <c r="AS126" s="6" t="str">
        <f>HYPERLINK("https://creighton-primo.hosted.exlibrisgroup.com/primo-explore/search?tab=default_tab&amp;search_scope=EVERYTHING&amp;vid=01CRU&amp;lang=en_US&amp;offset=0&amp;query=any,contains,991000152099702656","Catalog Record")</f>
        <v>Catalog Record</v>
      </c>
      <c r="AT126" s="6" t="str">
        <f>HYPERLINK("http://www.worldcat.org/oclc/9217240","WorldCat Record")</f>
        <v>WorldCat Record</v>
      </c>
      <c r="AU126" s="3" t="s">
        <v>1496</v>
      </c>
      <c r="AV126" s="3" t="s">
        <v>1497</v>
      </c>
      <c r="AW126" s="3" t="s">
        <v>1498</v>
      </c>
      <c r="AX126" s="3" t="s">
        <v>1498</v>
      </c>
      <c r="AY126" s="3" t="s">
        <v>1499</v>
      </c>
      <c r="AZ126" s="3" t="s">
        <v>75</v>
      </c>
      <c r="BB126" s="3" t="s">
        <v>1500</v>
      </c>
      <c r="BC126" s="3" t="s">
        <v>1501</v>
      </c>
      <c r="BD126" s="3" t="s">
        <v>1502</v>
      </c>
    </row>
    <row r="127" spans="1:56" ht="44.25" customHeight="1" x14ac:dyDescent="0.25">
      <c r="A127" s="7" t="s">
        <v>61</v>
      </c>
      <c r="B127" s="2" t="s">
        <v>1503</v>
      </c>
      <c r="C127" s="2" t="s">
        <v>1504</v>
      </c>
      <c r="D127" s="2" t="s">
        <v>1505</v>
      </c>
      <c r="F127" s="3" t="s">
        <v>61</v>
      </c>
      <c r="G127" s="3" t="s">
        <v>60</v>
      </c>
      <c r="H127" s="3" t="s">
        <v>61</v>
      </c>
      <c r="I127" s="3" t="s">
        <v>61</v>
      </c>
      <c r="J127" s="3" t="s">
        <v>62</v>
      </c>
      <c r="L127" s="2" t="s">
        <v>1506</v>
      </c>
      <c r="M127" s="3" t="s">
        <v>1507</v>
      </c>
      <c r="O127" s="3" t="s">
        <v>114</v>
      </c>
      <c r="P127" s="3" t="s">
        <v>192</v>
      </c>
      <c r="Q127" s="2" t="s">
        <v>1508</v>
      </c>
      <c r="R127" s="3" t="s">
        <v>68</v>
      </c>
      <c r="S127" s="4">
        <v>1</v>
      </c>
      <c r="T127" s="4">
        <v>1</v>
      </c>
      <c r="U127" s="5" t="s">
        <v>1509</v>
      </c>
      <c r="V127" s="5" t="s">
        <v>1509</v>
      </c>
      <c r="W127" s="5" t="s">
        <v>1090</v>
      </c>
      <c r="X127" s="5" t="s">
        <v>1090</v>
      </c>
      <c r="Y127" s="4">
        <v>337</v>
      </c>
      <c r="Z127" s="4">
        <v>207</v>
      </c>
      <c r="AA127" s="4">
        <v>213</v>
      </c>
      <c r="AB127" s="4">
        <v>2</v>
      </c>
      <c r="AC127" s="4">
        <v>2</v>
      </c>
      <c r="AD127" s="4">
        <v>8</v>
      </c>
      <c r="AE127" s="4">
        <v>8</v>
      </c>
      <c r="AF127" s="4">
        <v>0</v>
      </c>
      <c r="AG127" s="4">
        <v>0</v>
      </c>
      <c r="AH127" s="4">
        <v>1</v>
      </c>
      <c r="AI127" s="4">
        <v>1</v>
      </c>
      <c r="AJ127" s="4">
        <v>7</v>
      </c>
      <c r="AK127" s="4">
        <v>7</v>
      </c>
      <c r="AL127" s="4">
        <v>1</v>
      </c>
      <c r="AM127" s="4">
        <v>1</v>
      </c>
      <c r="AN127" s="4">
        <v>0</v>
      </c>
      <c r="AO127" s="4">
        <v>0</v>
      </c>
      <c r="AP127" s="3" t="s">
        <v>61</v>
      </c>
      <c r="AQ127" s="3" t="s">
        <v>59</v>
      </c>
      <c r="AR127" s="6" t="str">
        <f>HYPERLINK("http://catalog.hathitrust.org/Record/000017398","HathiTrust Record")</f>
        <v>HathiTrust Record</v>
      </c>
      <c r="AS127" s="6" t="str">
        <f>HYPERLINK("https://creighton-primo.hosted.exlibrisgroup.com/primo-explore/search?tab=default_tab&amp;search_scope=EVERYTHING&amp;vid=01CRU&amp;lang=en_US&amp;offset=0&amp;query=any,contains,991003719149702656","Catalog Record")</f>
        <v>Catalog Record</v>
      </c>
      <c r="AT127" s="6" t="str">
        <f>HYPERLINK("http://www.worldcat.org/oclc/1364888","WorldCat Record")</f>
        <v>WorldCat Record</v>
      </c>
      <c r="AU127" s="3" t="s">
        <v>1510</v>
      </c>
      <c r="AV127" s="3" t="s">
        <v>1511</v>
      </c>
      <c r="AW127" s="3" t="s">
        <v>1512</v>
      </c>
      <c r="AX127" s="3" t="s">
        <v>1512</v>
      </c>
      <c r="AY127" s="3" t="s">
        <v>1513</v>
      </c>
      <c r="AZ127" s="3" t="s">
        <v>75</v>
      </c>
      <c r="BB127" s="3" t="s">
        <v>1514</v>
      </c>
      <c r="BC127" s="3" t="s">
        <v>1515</v>
      </c>
      <c r="BD127" s="3" t="s">
        <v>1516</v>
      </c>
    </row>
    <row r="128" spans="1:56" ht="44.25" customHeight="1" x14ac:dyDescent="0.25">
      <c r="A128" s="7" t="s">
        <v>61</v>
      </c>
      <c r="B128" s="2" t="s">
        <v>1517</v>
      </c>
      <c r="C128" s="2" t="s">
        <v>1518</v>
      </c>
      <c r="D128" s="2" t="s">
        <v>1519</v>
      </c>
      <c r="F128" s="3" t="s">
        <v>61</v>
      </c>
      <c r="G128" s="3" t="s">
        <v>60</v>
      </c>
      <c r="H128" s="3" t="s">
        <v>61</v>
      </c>
      <c r="I128" s="3" t="s">
        <v>61</v>
      </c>
      <c r="J128" s="3" t="s">
        <v>62</v>
      </c>
      <c r="L128" s="2" t="s">
        <v>1520</v>
      </c>
      <c r="M128" s="3" t="s">
        <v>755</v>
      </c>
      <c r="O128" s="3" t="s">
        <v>114</v>
      </c>
      <c r="P128" s="3" t="s">
        <v>1521</v>
      </c>
      <c r="R128" s="3" t="s">
        <v>68</v>
      </c>
      <c r="S128" s="4">
        <v>11</v>
      </c>
      <c r="T128" s="4">
        <v>11</v>
      </c>
      <c r="U128" s="5" t="s">
        <v>1522</v>
      </c>
      <c r="V128" s="5" t="s">
        <v>1522</v>
      </c>
      <c r="W128" s="5" t="s">
        <v>607</v>
      </c>
      <c r="X128" s="5" t="s">
        <v>607</v>
      </c>
      <c r="Y128" s="4">
        <v>611</v>
      </c>
      <c r="Z128" s="4">
        <v>526</v>
      </c>
      <c r="AA128" s="4">
        <v>527</v>
      </c>
      <c r="AB128" s="4">
        <v>4</v>
      </c>
      <c r="AC128" s="4">
        <v>4</v>
      </c>
      <c r="AD128" s="4">
        <v>31</v>
      </c>
      <c r="AE128" s="4">
        <v>31</v>
      </c>
      <c r="AF128" s="4">
        <v>11</v>
      </c>
      <c r="AG128" s="4">
        <v>11</v>
      </c>
      <c r="AH128" s="4">
        <v>7</v>
      </c>
      <c r="AI128" s="4">
        <v>7</v>
      </c>
      <c r="AJ128" s="4">
        <v>19</v>
      </c>
      <c r="AK128" s="4">
        <v>19</v>
      </c>
      <c r="AL128" s="4">
        <v>3</v>
      </c>
      <c r="AM128" s="4">
        <v>3</v>
      </c>
      <c r="AN128" s="4">
        <v>0</v>
      </c>
      <c r="AO128" s="4">
        <v>0</v>
      </c>
      <c r="AP128" s="3" t="s">
        <v>61</v>
      </c>
      <c r="AQ128" s="3" t="s">
        <v>61</v>
      </c>
      <c r="AS128" s="6" t="str">
        <f>HYPERLINK("https://creighton-primo.hosted.exlibrisgroup.com/primo-explore/search?tab=default_tab&amp;search_scope=EVERYTHING&amp;vid=01CRU&amp;lang=en_US&amp;offset=0&amp;query=any,contains,991000805779702656","Catalog Record")</f>
        <v>Catalog Record</v>
      </c>
      <c r="AT128" s="6" t="str">
        <f>HYPERLINK("http://www.worldcat.org/oclc/140765","WorldCat Record")</f>
        <v>WorldCat Record</v>
      </c>
      <c r="AU128" s="3" t="s">
        <v>1523</v>
      </c>
      <c r="AV128" s="3" t="s">
        <v>1524</v>
      </c>
      <c r="AW128" s="3" t="s">
        <v>1525</v>
      </c>
      <c r="AX128" s="3" t="s">
        <v>1525</v>
      </c>
      <c r="AY128" s="3" t="s">
        <v>1526</v>
      </c>
      <c r="AZ128" s="3" t="s">
        <v>75</v>
      </c>
      <c r="BB128" s="3" t="s">
        <v>1527</v>
      </c>
      <c r="BC128" s="3" t="s">
        <v>1528</v>
      </c>
      <c r="BD128" s="3" t="s">
        <v>1529</v>
      </c>
    </row>
    <row r="129" spans="1:56" ht="44.25" customHeight="1" x14ac:dyDescent="0.25">
      <c r="A129" s="7" t="s">
        <v>61</v>
      </c>
      <c r="B129" s="2" t="s">
        <v>1530</v>
      </c>
      <c r="C129" s="2" t="s">
        <v>1531</v>
      </c>
      <c r="D129" s="2" t="s">
        <v>1532</v>
      </c>
      <c r="F129" s="3" t="s">
        <v>61</v>
      </c>
      <c r="G129" s="3" t="s">
        <v>60</v>
      </c>
      <c r="H129" s="3" t="s">
        <v>61</v>
      </c>
      <c r="I129" s="3" t="s">
        <v>61</v>
      </c>
      <c r="J129" s="3" t="s">
        <v>62</v>
      </c>
      <c r="K129" s="2" t="s">
        <v>1533</v>
      </c>
      <c r="L129" s="2" t="s">
        <v>1534</v>
      </c>
      <c r="M129" s="3" t="s">
        <v>1198</v>
      </c>
      <c r="O129" s="3" t="s">
        <v>114</v>
      </c>
      <c r="P129" s="3" t="s">
        <v>1007</v>
      </c>
      <c r="R129" s="3" t="s">
        <v>68</v>
      </c>
      <c r="S129" s="4">
        <v>2</v>
      </c>
      <c r="T129" s="4">
        <v>2</v>
      </c>
      <c r="U129" s="5" t="s">
        <v>1535</v>
      </c>
      <c r="V129" s="5" t="s">
        <v>1535</v>
      </c>
      <c r="W129" s="5" t="s">
        <v>131</v>
      </c>
      <c r="X129" s="5" t="s">
        <v>131</v>
      </c>
      <c r="Y129" s="4">
        <v>837</v>
      </c>
      <c r="Z129" s="4">
        <v>723</v>
      </c>
      <c r="AA129" s="4">
        <v>965</v>
      </c>
      <c r="AB129" s="4">
        <v>5</v>
      </c>
      <c r="AC129" s="4">
        <v>7</v>
      </c>
      <c r="AD129" s="4">
        <v>39</v>
      </c>
      <c r="AE129" s="4">
        <v>46</v>
      </c>
      <c r="AF129" s="4">
        <v>16</v>
      </c>
      <c r="AG129" s="4">
        <v>19</v>
      </c>
      <c r="AH129" s="4">
        <v>9</v>
      </c>
      <c r="AI129" s="4">
        <v>10</v>
      </c>
      <c r="AJ129" s="4">
        <v>23</v>
      </c>
      <c r="AK129" s="4">
        <v>24</v>
      </c>
      <c r="AL129" s="4">
        <v>3</v>
      </c>
      <c r="AM129" s="4">
        <v>5</v>
      </c>
      <c r="AN129" s="4">
        <v>0</v>
      </c>
      <c r="AO129" s="4">
        <v>0</v>
      </c>
      <c r="AP129" s="3" t="s">
        <v>59</v>
      </c>
      <c r="AQ129" s="3" t="s">
        <v>61</v>
      </c>
      <c r="AR129" s="6" t="str">
        <f>HYPERLINK("http://catalog.hathitrust.org/Record/000538413","HathiTrust Record")</f>
        <v>HathiTrust Record</v>
      </c>
      <c r="AS129" s="6" t="str">
        <f>HYPERLINK("https://creighton-primo.hosted.exlibrisgroup.com/primo-explore/search?tab=default_tab&amp;search_scope=EVERYTHING&amp;vid=01CRU&amp;lang=en_US&amp;offset=0&amp;query=any,contains,991003340609702656","Catalog Record")</f>
        <v>Catalog Record</v>
      </c>
      <c r="AT129" s="6" t="str">
        <f>HYPERLINK("http://www.worldcat.org/oclc/871429","WorldCat Record")</f>
        <v>WorldCat Record</v>
      </c>
      <c r="AU129" s="3" t="s">
        <v>1536</v>
      </c>
      <c r="AV129" s="3" t="s">
        <v>1537</v>
      </c>
      <c r="AW129" s="3" t="s">
        <v>1538</v>
      </c>
      <c r="AX129" s="3" t="s">
        <v>1538</v>
      </c>
      <c r="AY129" s="3" t="s">
        <v>1539</v>
      </c>
      <c r="AZ129" s="3" t="s">
        <v>75</v>
      </c>
      <c r="BC129" s="3" t="s">
        <v>1540</v>
      </c>
      <c r="BD129" s="3" t="s">
        <v>1541</v>
      </c>
    </row>
    <row r="130" spans="1:56" ht="44.25" customHeight="1" x14ac:dyDescent="0.25">
      <c r="A130" s="7" t="s">
        <v>61</v>
      </c>
      <c r="B130" s="2" t="s">
        <v>1542</v>
      </c>
      <c r="C130" s="2" t="s">
        <v>1543</v>
      </c>
      <c r="D130" s="2" t="s">
        <v>1544</v>
      </c>
      <c r="F130" s="3" t="s">
        <v>61</v>
      </c>
      <c r="G130" s="3" t="s">
        <v>60</v>
      </c>
      <c r="H130" s="3" t="s">
        <v>61</v>
      </c>
      <c r="I130" s="3" t="s">
        <v>61</v>
      </c>
      <c r="J130" s="3" t="s">
        <v>62</v>
      </c>
      <c r="K130" s="2" t="s">
        <v>1545</v>
      </c>
      <c r="L130" s="2" t="s">
        <v>1546</v>
      </c>
      <c r="M130" s="3" t="s">
        <v>1211</v>
      </c>
      <c r="O130" s="3" t="s">
        <v>114</v>
      </c>
      <c r="P130" s="3" t="s">
        <v>437</v>
      </c>
      <c r="R130" s="3" t="s">
        <v>68</v>
      </c>
      <c r="S130" s="4">
        <v>2</v>
      </c>
      <c r="T130" s="4">
        <v>2</v>
      </c>
      <c r="U130" s="5" t="s">
        <v>1535</v>
      </c>
      <c r="V130" s="5" t="s">
        <v>1535</v>
      </c>
      <c r="W130" s="5" t="s">
        <v>131</v>
      </c>
      <c r="X130" s="5" t="s">
        <v>131</v>
      </c>
      <c r="Y130" s="4">
        <v>1380</v>
      </c>
      <c r="Z130" s="4">
        <v>1210</v>
      </c>
      <c r="AA130" s="4">
        <v>1218</v>
      </c>
      <c r="AB130" s="4">
        <v>9</v>
      </c>
      <c r="AC130" s="4">
        <v>9</v>
      </c>
      <c r="AD130" s="4">
        <v>39</v>
      </c>
      <c r="AE130" s="4">
        <v>39</v>
      </c>
      <c r="AF130" s="4">
        <v>17</v>
      </c>
      <c r="AG130" s="4">
        <v>17</v>
      </c>
      <c r="AH130" s="4">
        <v>9</v>
      </c>
      <c r="AI130" s="4">
        <v>9</v>
      </c>
      <c r="AJ130" s="4">
        <v>19</v>
      </c>
      <c r="AK130" s="4">
        <v>19</v>
      </c>
      <c r="AL130" s="4">
        <v>4</v>
      </c>
      <c r="AM130" s="4">
        <v>4</v>
      </c>
      <c r="AN130" s="4">
        <v>1</v>
      </c>
      <c r="AO130" s="4">
        <v>1</v>
      </c>
      <c r="AP130" s="3" t="s">
        <v>61</v>
      </c>
      <c r="AQ130" s="3" t="s">
        <v>61</v>
      </c>
      <c r="AS130" s="6" t="str">
        <f>HYPERLINK("https://creighton-primo.hosted.exlibrisgroup.com/primo-explore/search?tab=default_tab&amp;search_scope=EVERYTHING&amp;vid=01CRU&amp;lang=en_US&amp;offset=0&amp;query=any,contains,991003278809702656","Catalog Record")</f>
        <v>Catalog Record</v>
      </c>
      <c r="AT130" s="6" t="str">
        <f>HYPERLINK("http://www.worldcat.org/oclc/801712","WorldCat Record")</f>
        <v>WorldCat Record</v>
      </c>
      <c r="AU130" s="3" t="s">
        <v>1547</v>
      </c>
      <c r="AV130" s="3" t="s">
        <v>1548</v>
      </c>
      <c r="AW130" s="3" t="s">
        <v>1549</v>
      </c>
      <c r="AX130" s="3" t="s">
        <v>1549</v>
      </c>
      <c r="AY130" s="3" t="s">
        <v>1550</v>
      </c>
      <c r="AZ130" s="3" t="s">
        <v>75</v>
      </c>
      <c r="BB130" s="3" t="s">
        <v>1551</v>
      </c>
      <c r="BC130" s="3" t="s">
        <v>1552</v>
      </c>
      <c r="BD130" s="3" t="s">
        <v>1553</v>
      </c>
    </row>
    <row r="131" spans="1:56" ht="44.25" customHeight="1" x14ac:dyDescent="0.25">
      <c r="A131" s="7" t="s">
        <v>61</v>
      </c>
      <c r="B131" s="2" t="s">
        <v>1554</v>
      </c>
      <c r="C131" s="2" t="s">
        <v>1555</v>
      </c>
      <c r="D131" s="2" t="s">
        <v>1556</v>
      </c>
      <c r="F131" s="3" t="s">
        <v>61</v>
      </c>
      <c r="G131" s="3" t="s">
        <v>60</v>
      </c>
      <c r="H131" s="3" t="s">
        <v>61</v>
      </c>
      <c r="I131" s="3" t="s">
        <v>61</v>
      </c>
      <c r="J131" s="3" t="s">
        <v>62</v>
      </c>
      <c r="K131" s="2" t="s">
        <v>1557</v>
      </c>
      <c r="L131" s="2" t="s">
        <v>1558</v>
      </c>
      <c r="M131" s="3" t="s">
        <v>770</v>
      </c>
      <c r="O131" s="3" t="s">
        <v>114</v>
      </c>
      <c r="P131" s="3" t="s">
        <v>649</v>
      </c>
      <c r="R131" s="3" t="s">
        <v>68</v>
      </c>
      <c r="S131" s="4">
        <v>2</v>
      </c>
      <c r="T131" s="4">
        <v>2</v>
      </c>
      <c r="U131" s="5" t="s">
        <v>1535</v>
      </c>
      <c r="V131" s="5" t="s">
        <v>1535</v>
      </c>
      <c r="W131" s="5" t="s">
        <v>131</v>
      </c>
      <c r="X131" s="5" t="s">
        <v>131</v>
      </c>
      <c r="Y131" s="4">
        <v>159</v>
      </c>
      <c r="Z131" s="4">
        <v>129</v>
      </c>
      <c r="AA131" s="4">
        <v>343</v>
      </c>
      <c r="AB131" s="4">
        <v>1</v>
      </c>
      <c r="AC131" s="4">
        <v>2</v>
      </c>
      <c r="AD131" s="4">
        <v>5</v>
      </c>
      <c r="AE131" s="4">
        <v>20</v>
      </c>
      <c r="AF131" s="4">
        <v>3</v>
      </c>
      <c r="AG131" s="4">
        <v>8</v>
      </c>
      <c r="AH131" s="4">
        <v>2</v>
      </c>
      <c r="AI131" s="4">
        <v>5</v>
      </c>
      <c r="AJ131" s="4">
        <v>2</v>
      </c>
      <c r="AK131" s="4">
        <v>13</v>
      </c>
      <c r="AL131" s="4">
        <v>0</v>
      </c>
      <c r="AM131" s="4">
        <v>1</v>
      </c>
      <c r="AN131" s="4">
        <v>0</v>
      </c>
      <c r="AO131" s="4">
        <v>0</v>
      </c>
      <c r="AP131" s="3" t="s">
        <v>61</v>
      </c>
      <c r="AQ131" s="3" t="s">
        <v>59</v>
      </c>
      <c r="AR131" s="6" t="str">
        <f>HYPERLINK("http://catalog.hathitrust.org/Record/007526752","HathiTrust Record")</f>
        <v>HathiTrust Record</v>
      </c>
      <c r="AS131" s="6" t="str">
        <f>HYPERLINK("https://creighton-primo.hosted.exlibrisgroup.com/primo-explore/search?tab=default_tab&amp;search_scope=EVERYTHING&amp;vid=01CRU&amp;lang=en_US&amp;offset=0&amp;query=any,contains,991003840949702656","Catalog Record")</f>
        <v>Catalog Record</v>
      </c>
      <c r="AT131" s="6" t="str">
        <f>HYPERLINK("http://www.worldcat.org/oclc/1617283","WorldCat Record")</f>
        <v>WorldCat Record</v>
      </c>
      <c r="AU131" s="3" t="s">
        <v>1559</v>
      </c>
      <c r="AV131" s="3" t="s">
        <v>1560</v>
      </c>
      <c r="AW131" s="3" t="s">
        <v>1561</v>
      </c>
      <c r="AX131" s="3" t="s">
        <v>1561</v>
      </c>
      <c r="AY131" s="3" t="s">
        <v>1562</v>
      </c>
      <c r="AZ131" s="3" t="s">
        <v>75</v>
      </c>
      <c r="BB131" s="3" t="s">
        <v>1563</v>
      </c>
      <c r="BC131" s="3" t="s">
        <v>1564</v>
      </c>
      <c r="BD131" s="3" t="s">
        <v>1565</v>
      </c>
    </row>
    <row r="132" spans="1:56" ht="44.25" customHeight="1" x14ac:dyDescent="0.25">
      <c r="A132" s="7" t="s">
        <v>61</v>
      </c>
      <c r="B132" s="2" t="s">
        <v>1566</v>
      </c>
      <c r="C132" s="2" t="s">
        <v>1567</v>
      </c>
      <c r="D132" s="2" t="s">
        <v>1568</v>
      </c>
      <c r="F132" s="3" t="s">
        <v>61</v>
      </c>
      <c r="G132" s="3" t="s">
        <v>60</v>
      </c>
      <c r="H132" s="3" t="s">
        <v>61</v>
      </c>
      <c r="I132" s="3" t="s">
        <v>61</v>
      </c>
      <c r="J132" s="3" t="s">
        <v>62</v>
      </c>
      <c r="K132" s="2" t="s">
        <v>1569</v>
      </c>
      <c r="L132" s="2" t="s">
        <v>1570</v>
      </c>
      <c r="M132" s="3" t="s">
        <v>1571</v>
      </c>
      <c r="O132" s="3" t="s">
        <v>114</v>
      </c>
      <c r="P132" s="3" t="s">
        <v>1114</v>
      </c>
      <c r="R132" s="3" t="s">
        <v>68</v>
      </c>
      <c r="S132" s="4">
        <v>3</v>
      </c>
      <c r="T132" s="4">
        <v>3</v>
      </c>
      <c r="U132" s="5" t="s">
        <v>1572</v>
      </c>
      <c r="V132" s="5" t="s">
        <v>1572</v>
      </c>
      <c r="W132" s="5" t="s">
        <v>131</v>
      </c>
      <c r="X132" s="5" t="s">
        <v>131</v>
      </c>
      <c r="Y132" s="4">
        <v>1343</v>
      </c>
      <c r="Z132" s="4">
        <v>1162</v>
      </c>
      <c r="AA132" s="4">
        <v>1191</v>
      </c>
      <c r="AB132" s="4">
        <v>12</v>
      </c>
      <c r="AC132" s="4">
        <v>12</v>
      </c>
      <c r="AD132" s="4">
        <v>50</v>
      </c>
      <c r="AE132" s="4">
        <v>51</v>
      </c>
      <c r="AF132" s="4">
        <v>20</v>
      </c>
      <c r="AG132" s="4">
        <v>21</v>
      </c>
      <c r="AH132" s="4">
        <v>10</v>
      </c>
      <c r="AI132" s="4">
        <v>10</v>
      </c>
      <c r="AJ132" s="4">
        <v>23</v>
      </c>
      <c r="AK132" s="4">
        <v>24</v>
      </c>
      <c r="AL132" s="4">
        <v>9</v>
      </c>
      <c r="AM132" s="4">
        <v>9</v>
      </c>
      <c r="AN132" s="4">
        <v>0</v>
      </c>
      <c r="AO132" s="4">
        <v>0</v>
      </c>
      <c r="AP132" s="3" t="s">
        <v>61</v>
      </c>
      <c r="AQ132" s="3" t="s">
        <v>61</v>
      </c>
      <c r="AR132" s="6" t="str">
        <f>HYPERLINK("http://catalog.hathitrust.org/Record/000633141","HathiTrust Record")</f>
        <v>HathiTrust Record</v>
      </c>
      <c r="AS132" s="6" t="str">
        <f>HYPERLINK("https://creighton-primo.hosted.exlibrisgroup.com/primo-explore/search?tab=default_tab&amp;search_scope=EVERYTHING&amp;vid=01CRU&amp;lang=en_US&amp;offset=0&amp;query=any,contains,991002664509702656","Catalog Record")</f>
        <v>Catalog Record</v>
      </c>
      <c r="AT132" s="6" t="str">
        <f>HYPERLINK("http://www.worldcat.org/oclc/392665","WorldCat Record")</f>
        <v>WorldCat Record</v>
      </c>
      <c r="AU132" s="3" t="s">
        <v>1573</v>
      </c>
      <c r="AV132" s="3" t="s">
        <v>1574</v>
      </c>
      <c r="AW132" s="3" t="s">
        <v>1575</v>
      </c>
      <c r="AX132" s="3" t="s">
        <v>1575</v>
      </c>
      <c r="AY132" s="3" t="s">
        <v>1576</v>
      </c>
      <c r="AZ132" s="3" t="s">
        <v>75</v>
      </c>
      <c r="BC132" s="3" t="s">
        <v>1577</v>
      </c>
      <c r="BD132" s="3" t="s">
        <v>1578</v>
      </c>
    </row>
    <row r="133" spans="1:56" ht="44.25" customHeight="1" x14ac:dyDescent="0.25">
      <c r="A133" s="7" t="s">
        <v>61</v>
      </c>
      <c r="B133" s="2" t="s">
        <v>1579</v>
      </c>
      <c r="C133" s="2" t="s">
        <v>1580</v>
      </c>
      <c r="D133" s="2" t="s">
        <v>1581</v>
      </c>
      <c r="F133" s="3" t="s">
        <v>61</v>
      </c>
      <c r="G133" s="3" t="s">
        <v>60</v>
      </c>
      <c r="H133" s="3" t="s">
        <v>61</v>
      </c>
      <c r="I133" s="3" t="s">
        <v>61</v>
      </c>
      <c r="J133" s="3" t="s">
        <v>62</v>
      </c>
      <c r="K133" s="2" t="s">
        <v>1569</v>
      </c>
      <c r="L133" s="2" t="s">
        <v>1582</v>
      </c>
      <c r="M133" s="3" t="s">
        <v>1332</v>
      </c>
      <c r="O133" s="3" t="s">
        <v>114</v>
      </c>
      <c r="P133" s="3" t="s">
        <v>115</v>
      </c>
      <c r="Q133" s="2" t="s">
        <v>1583</v>
      </c>
      <c r="R133" s="3" t="s">
        <v>68</v>
      </c>
      <c r="S133" s="4">
        <v>4</v>
      </c>
      <c r="T133" s="4">
        <v>4</v>
      </c>
      <c r="U133" s="5" t="s">
        <v>1584</v>
      </c>
      <c r="V133" s="5" t="s">
        <v>1584</v>
      </c>
      <c r="W133" s="5" t="s">
        <v>131</v>
      </c>
      <c r="X133" s="5" t="s">
        <v>131</v>
      </c>
      <c r="Y133" s="4">
        <v>564</v>
      </c>
      <c r="Z133" s="4">
        <v>457</v>
      </c>
      <c r="AA133" s="4">
        <v>473</v>
      </c>
      <c r="AB133" s="4">
        <v>3</v>
      </c>
      <c r="AC133" s="4">
        <v>4</v>
      </c>
      <c r="AD133" s="4">
        <v>26</v>
      </c>
      <c r="AE133" s="4">
        <v>27</v>
      </c>
      <c r="AF133" s="4">
        <v>8</v>
      </c>
      <c r="AG133" s="4">
        <v>8</v>
      </c>
      <c r="AH133" s="4">
        <v>7</v>
      </c>
      <c r="AI133" s="4">
        <v>7</v>
      </c>
      <c r="AJ133" s="4">
        <v>17</v>
      </c>
      <c r="AK133" s="4">
        <v>17</v>
      </c>
      <c r="AL133" s="4">
        <v>2</v>
      </c>
      <c r="AM133" s="4">
        <v>3</v>
      </c>
      <c r="AN133" s="4">
        <v>0</v>
      </c>
      <c r="AO133" s="4">
        <v>0</v>
      </c>
      <c r="AP133" s="3" t="s">
        <v>59</v>
      </c>
      <c r="AQ133" s="3" t="s">
        <v>59</v>
      </c>
      <c r="AR133" s="6" t="str">
        <f>HYPERLINK("http://catalog.hathitrust.org/Record/000823142","HathiTrust Record")</f>
        <v>HathiTrust Record</v>
      </c>
      <c r="AS133" s="6" t="str">
        <f>HYPERLINK("https://creighton-primo.hosted.exlibrisgroup.com/primo-explore/search?tab=default_tab&amp;search_scope=EVERYTHING&amp;vid=01CRU&amp;lang=en_US&amp;offset=0&amp;query=any,contains,991002677209702656","Catalog Record")</f>
        <v>Catalog Record</v>
      </c>
      <c r="AT133" s="6" t="str">
        <f>HYPERLINK("http://www.worldcat.org/oclc/397287","WorldCat Record")</f>
        <v>WorldCat Record</v>
      </c>
      <c r="AU133" s="3" t="s">
        <v>1585</v>
      </c>
      <c r="AV133" s="3" t="s">
        <v>1586</v>
      </c>
      <c r="AW133" s="3" t="s">
        <v>1587</v>
      </c>
      <c r="AX133" s="3" t="s">
        <v>1587</v>
      </c>
      <c r="AY133" s="3" t="s">
        <v>1588</v>
      </c>
      <c r="AZ133" s="3" t="s">
        <v>75</v>
      </c>
      <c r="BC133" s="3" t="s">
        <v>1589</v>
      </c>
      <c r="BD133" s="3" t="s">
        <v>1590</v>
      </c>
    </row>
    <row r="134" spans="1:56" ht="44.25" customHeight="1" x14ac:dyDescent="0.25">
      <c r="A134" s="7" t="s">
        <v>61</v>
      </c>
      <c r="B134" s="2" t="s">
        <v>1591</v>
      </c>
      <c r="C134" s="2" t="s">
        <v>1592</v>
      </c>
      <c r="D134" s="2" t="s">
        <v>1593</v>
      </c>
      <c r="F134" s="3" t="s">
        <v>61</v>
      </c>
      <c r="G134" s="3" t="s">
        <v>60</v>
      </c>
      <c r="H134" s="3" t="s">
        <v>61</v>
      </c>
      <c r="I134" s="3" t="s">
        <v>61</v>
      </c>
      <c r="J134" s="3" t="s">
        <v>62</v>
      </c>
      <c r="K134" s="2" t="s">
        <v>1594</v>
      </c>
      <c r="L134" s="2" t="s">
        <v>1595</v>
      </c>
      <c r="M134" s="3" t="s">
        <v>1596</v>
      </c>
      <c r="O134" s="3" t="s">
        <v>114</v>
      </c>
      <c r="P134" s="3" t="s">
        <v>1033</v>
      </c>
      <c r="R134" s="3" t="s">
        <v>68</v>
      </c>
      <c r="S134" s="4">
        <v>3</v>
      </c>
      <c r="T134" s="4">
        <v>3</v>
      </c>
      <c r="U134" s="5" t="s">
        <v>1597</v>
      </c>
      <c r="V134" s="5" t="s">
        <v>1597</v>
      </c>
      <c r="W134" s="5" t="s">
        <v>131</v>
      </c>
      <c r="X134" s="5" t="s">
        <v>131</v>
      </c>
      <c r="Y134" s="4">
        <v>395</v>
      </c>
      <c r="Z134" s="4">
        <v>374</v>
      </c>
      <c r="AA134" s="4">
        <v>377</v>
      </c>
      <c r="AB134" s="4">
        <v>4</v>
      </c>
      <c r="AC134" s="4">
        <v>4</v>
      </c>
      <c r="AD134" s="4">
        <v>25</v>
      </c>
      <c r="AE134" s="4">
        <v>25</v>
      </c>
      <c r="AF134" s="4">
        <v>10</v>
      </c>
      <c r="AG134" s="4">
        <v>10</v>
      </c>
      <c r="AH134" s="4">
        <v>6</v>
      </c>
      <c r="AI134" s="4">
        <v>6</v>
      </c>
      <c r="AJ134" s="4">
        <v>12</v>
      </c>
      <c r="AK134" s="4">
        <v>12</v>
      </c>
      <c r="AL134" s="4">
        <v>3</v>
      </c>
      <c r="AM134" s="4">
        <v>3</v>
      </c>
      <c r="AN134" s="4">
        <v>0</v>
      </c>
      <c r="AO134" s="4">
        <v>0</v>
      </c>
      <c r="AP134" s="3" t="s">
        <v>61</v>
      </c>
      <c r="AQ134" s="3" t="s">
        <v>59</v>
      </c>
      <c r="AR134" s="6" t="str">
        <f>HYPERLINK("http://catalog.hathitrust.org/Record/007526743","HathiTrust Record")</f>
        <v>HathiTrust Record</v>
      </c>
      <c r="AS134" s="6" t="str">
        <f>HYPERLINK("https://creighton-primo.hosted.exlibrisgroup.com/primo-explore/search?tab=default_tab&amp;search_scope=EVERYTHING&amp;vid=01CRU&amp;lang=en_US&amp;offset=0&amp;query=any,contains,991003998979702656","Catalog Record")</f>
        <v>Catalog Record</v>
      </c>
      <c r="AT134" s="6" t="str">
        <f>HYPERLINK("http://www.worldcat.org/oclc/2070324","WorldCat Record")</f>
        <v>WorldCat Record</v>
      </c>
      <c r="AU134" s="3" t="s">
        <v>1598</v>
      </c>
      <c r="AV134" s="3" t="s">
        <v>1599</v>
      </c>
      <c r="AW134" s="3" t="s">
        <v>1600</v>
      </c>
      <c r="AX134" s="3" t="s">
        <v>1600</v>
      </c>
      <c r="AY134" s="3" t="s">
        <v>1601</v>
      </c>
      <c r="AZ134" s="3" t="s">
        <v>75</v>
      </c>
      <c r="BC134" s="3" t="s">
        <v>1602</v>
      </c>
      <c r="BD134" s="3" t="s">
        <v>1603</v>
      </c>
    </row>
    <row r="135" spans="1:56" ht="44.25" customHeight="1" x14ac:dyDescent="0.25">
      <c r="A135" s="7" t="s">
        <v>61</v>
      </c>
      <c r="B135" s="2" t="s">
        <v>1604</v>
      </c>
      <c r="C135" s="2" t="s">
        <v>1605</v>
      </c>
      <c r="D135" s="2" t="s">
        <v>1606</v>
      </c>
      <c r="F135" s="3" t="s">
        <v>61</v>
      </c>
      <c r="G135" s="3" t="s">
        <v>60</v>
      </c>
      <c r="H135" s="3" t="s">
        <v>61</v>
      </c>
      <c r="I135" s="3" t="s">
        <v>61</v>
      </c>
      <c r="J135" s="3" t="s">
        <v>62</v>
      </c>
      <c r="K135" s="2" t="s">
        <v>1607</v>
      </c>
      <c r="L135" s="2" t="s">
        <v>1608</v>
      </c>
      <c r="M135" s="3" t="s">
        <v>579</v>
      </c>
      <c r="O135" s="3" t="s">
        <v>114</v>
      </c>
      <c r="P135" s="3" t="s">
        <v>192</v>
      </c>
      <c r="Q135" s="2" t="s">
        <v>1609</v>
      </c>
      <c r="R135" s="3" t="s">
        <v>68</v>
      </c>
      <c r="S135" s="4">
        <v>3</v>
      </c>
      <c r="T135" s="4">
        <v>3</v>
      </c>
      <c r="U135" s="5" t="s">
        <v>1610</v>
      </c>
      <c r="V135" s="5" t="s">
        <v>1610</v>
      </c>
      <c r="W135" s="5" t="s">
        <v>1611</v>
      </c>
      <c r="X135" s="5" t="s">
        <v>1611</v>
      </c>
      <c r="Y135" s="4">
        <v>247</v>
      </c>
      <c r="Z135" s="4">
        <v>150</v>
      </c>
      <c r="AA135" s="4">
        <v>155</v>
      </c>
      <c r="AB135" s="4">
        <v>3</v>
      </c>
      <c r="AC135" s="4">
        <v>3</v>
      </c>
      <c r="AD135" s="4">
        <v>6</v>
      </c>
      <c r="AE135" s="4">
        <v>6</v>
      </c>
      <c r="AF135" s="4">
        <v>2</v>
      </c>
      <c r="AG135" s="4">
        <v>2</v>
      </c>
      <c r="AH135" s="4">
        <v>1</v>
      </c>
      <c r="AI135" s="4">
        <v>1</v>
      </c>
      <c r="AJ135" s="4">
        <v>3</v>
      </c>
      <c r="AK135" s="4">
        <v>3</v>
      </c>
      <c r="AL135" s="4">
        <v>2</v>
      </c>
      <c r="AM135" s="4">
        <v>2</v>
      </c>
      <c r="AN135" s="4">
        <v>0</v>
      </c>
      <c r="AO135" s="4">
        <v>0</v>
      </c>
      <c r="AP135" s="3" t="s">
        <v>61</v>
      </c>
      <c r="AQ135" s="3" t="s">
        <v>61</v>
      </c>
      <c r="AS135" s="6" t="str">
        <f>HYPERLINK("https://creighton-primo.hosted.exlibrisgroup.com/primo-explore/search?tab=default_tab&amp;search_scope=EVERYTHING&amp;vid=01CRU&amp;lang=en_US&amp;offset=0&amp;query=any,contains,991001135849702656","Catalog Record")</f>
        <v>Catalog Record</v>
      </c>
      <c r="AT135" s="6" t="str">
        <f>HYPERLINK("http://www.worldcat.org/oclc/16711833","WorldCat Record")</f>
        <v>WorldCat Record</v>
      </c>
      <c r="AU135" s="3" t="s">
        <v>1612</v>
      </c>
      <c r="AV135" s="3" t="s">
        <v>1613</v>
      </c>
      <c r="AW135" s="3" t="s">
        <v>1614</v>
      </c>
      <c r="AX135" s="3" t="s">
        <v>1614</v>
      </c>
      <c r="AY135" s="3" t="s">
        <v>1615</v>
      </c>
      <c r="AZ135" s="3" t="s">
        <v>75</v>
      </c>
      <c r="BB135" s="3" t="s">
        <v>1616</v>
      </c>
      <c r="BC135" s="3" t="s">
        <v>1617</v>
      </c>
      <c r="BD135" s="3" t="s">
        <v>1618</v>
      </c>
    </row>
    <row r="136" spans="1:56" ht="44.25" customHeight="1" x14ac:dyDescent="0.25">
      <c r="A136" s="7" t="s">
        <v>61</v>
      </c>
      <c r="B136" s="2" t="s">
        <v>1619</v>
      </c>
      <c r="C136" s="2" t="s">
        <v>1620</v>
      </c>
      <c r="D136" s="2" t="s">
        <v>1621</v>
      </c>
      <c r="F136" s="3" t="s">
        <v>61</v>
      </c>
      <c r="G136" s="3" t="s">
        <v>60</v>
      </c>
      <c r="H136" s="3" t="s">
        <v>61</v>
      </c>
      <c r="I136" s="3" t="s">
        <v>61</v>
      </c>
      <c r="J136" s="3" t="s">
        <v>62</v>
      </c>
      <c r="K136" s="2" t="s">
        <v>1622</v>
      </c>
      <c r="L136" s="2" t="s">
        <v>1623</v>
      </c>
      <c r="M136" s="3" t="s">
        <v>1624</v>
      </c>
      <c r="O136" s="3" t="s">
        <v>114</v>
      </c>
      <c r="P136" s="3" t="s">
        <v>364</v>
      </c>
      <c r="R136" s="3" t="s">
        <v>68</v>
      </c>
      <c r="S136" s="4">
        <v>1</v>
      </c>
      <c r="T136" s="4">
        <v>1</v>
      </c>
      <c r="U136" s="5" t="s">
        <v>1625</v>
      </c>
      <c r="V136" s="5" t="s">
        <v>1625</v>
      </c>
      <c r="W136" s="5" t="s">
        <v>1626</v>
      </c>
      <c r="X136" s="5" t="s">
        <v>1626</v>
      </c>
      <c r="Y136" s="4">
        <v>493</v>
      </c>
      <c r="Z136" s="4">
        <v>461</v>
      </c>
      <c r="AA136" s="4">
        <v>795</v>
      </c>
      <c r="AB136" s="4">
        <v>6</v>
      </c>
      <c r="AC136" s="4">
        <v>11</v>
      </c>
      <c r="AD136" s="4">
        <v>29</v>
      </c>
      <c r="AE136" s="4">
        <v>49</v>
      </c>
      <c r="AF136" s="4">
        <v>11</v>
      </c>
      <c r="AG136" s="4">
        <v>18</v>
      </c>
      <c r="AH136" s="4">
        <v>5</v>
      </c>
      <c r="AI136" s="4">
        <v>8</v>
      </c>
      <c r="AJ136" s="4">
        <v>14</v>
      </c>
      <c r="AK136" s="4">
        <v>25</v>
      </c>
      <c r="AL136" s="4">
        <v>5</v>
      </c>
      <c r="AM136" s="4">
        <v>10</v>
      </c>
      <c r="AN136" s="4">
        <v>0</v>
      </c>
      <c r="AO136" s="4">
        <v>1</v>
      </c>
      <c r="AP136" s="3" t="s">
        <v>61</v>
      </c>
      <c r="AQ136" s="3" t="s">
        <v>61</v>
      </c>
      <c r="AS136" s="6" t="str">
        <f>HYPERLINK("https://creighton-primo.hosted.exlibrisgroup.com/primo-explore/search?tab=default_tab&amp;search_scope=EVERYTHING&amp;vid=01CRU&amp;lang=en_US&amp;offset=0&amp;query=any,contains,991004317819702656","Catalog Record")</f>
        <v>Catalog Record</v>
      </c>
      <c r="AT136" s="6" t="str">
        <f>HYPERLINK("http://www.worldcat.org/oclc/3011425","WorldCat Record")</f>
        <v>WorldCat Record</v>
      </c>
      <c r="AU136" s="3" t="s">
        <v>1627</v>
      </c>
      <c r="AV136" s="3" t="s">
        <v>1628</v>
      </c>
      <c r="AW136" s="3" t="s">
        <v>1629</v>
      </c>
      <c r="AX136" s="3" t="s">
        <v>1629</v>
      </c>
      <c r="AY136" s="3" t="s">
        <v>1630</v>
      </c>
      <c r="AZ136" s="3" t="s">
        <v>75</v>
      </c>
      <c r="BC136" s="3" t="s">
        <v>1631</v>
      </c>
      <c r="BD136" s="3" t="s">
        <v>1632</v>
      </c>
    </row>
    <row r="137" spans="1:56" ht="44.25" customHeight="1" x14ac:dyDescent="0.25">
      <c r="A137" s="7" t="s">
        <v>61</v>
      </c>
      <c r="B137" s="2" t="s">
        <v>1633</v>
      </c>
      <c r="C137" s="2" t="s">
        <v>1634</v>
      </c>
      <c r="D137" s="2" t="s">
        <v>1635</v>
      </c>
      <c r="F137" s="3" t="s">
        <v>61</v>
      </c>
      <c r="G137" s="3" t="s">
        <v>60</v>
      </c>
      <c r="H137" s="3" t="s">
        <v>61</v>
      </c>
      <c r="I137" s="3" t="s">
        <v>61</v>
      </c>
      <c r="J137" s="3" t="s">
        <v>62</v>
      </c>
      <c r="K137" s="2" t="s">
        <v>1636</v>
      </c>
      <c r="L137" s="2" t="s">
        <v>1637</v>
      </c>
      <c r="M137" s="3" t="s">
        <v>1507</v>
      </c>
      <c r="O137" s="3" t="s">
        <v>114</v>
      </c>
      <c r="P137" s="3" t="s">
        <v>649</v>
      </c>
      <c r="R137" s="3" t="s">
        <v>68</v>
      </c>
      <c r="S137" s="4">
        <v>4</v>
      </c>
      <c r="T137" s="4">
        <v>4</v>
      </c>
      <c r="U137" s="5" t="s">
        <v>1638</v>
      </c>
      <c r="V137" s="5" t="s">
        <v>1638</v>
      </c>
      <c r="W137" s="5" t="s">
        <v>1626</v>
      </c>
      <c r="X137" s="5" t="s">
        <v>1626</v>
      </c>
      <c r="Y137" s="4">
        <v>61</v>
      </c>
      <c r="Z137" s="4">
        <v>60</v>
      </c>
      <c r="AA137" s="4">
        <v>256</v>
      </c>
      <c r="AB137" s="4">
        <v>1</v>
      </c>
      <c r="AC137" s="4">
        <v>2</v>
      </c>
      <c r="AD137" s="4">
        <v>4</v>
      </c>
      <c r="AE137" s="4">
        <v>23</v>
      </c>
      <c r="AF137" s="4">
        <v>0</v>
      </c>
      <c r="AG137" s="4">
        <v>7</v>
      </c>
      <c r="AH137" s="4">
        <v>2</v>
      </c>
      <c r="AI137" s="4">
        <v>5</v>
      </c>
      <c r="AJ137" s="4">
        <v>3</v>
      </c>
      <c r="AK137" s="4">
        <v>17</v>
      </c>
      <c r="AL137" s="4">
        <v>0</v>
      </c>
      <c r="AM137" s="4">
        <v>1</v>
      </c>
      <c r="AN137" s="4">
        <v>0</v>
      </c>
      <c r="AO137" s="4">
        <v>0</v>
      </c>
      <c r="AP137" s="3" t="s">
        <v>61</v>
      </c>
      <c r="AQ137" s="3" t="s">
        <v>61</v>
      </c>
      <c r="AS137" s="6" t="str">
        <f>HYPERLINK("https://creighton-primo.hosted.exlibrisgroup.com/primo-explore/search?tab=default_tab&amp;search_scope=EVERYTHING&amp;vid=01CRU&amp;lang=en_US&amp;offset=0&amp;query=any,contains,991003280149702656","Catalog Record")</f>
        <v>Catalog Record</v>
      </c>
      <c r="AT137" s="6" t="str">
        <f>HYPERLINK("http://www.worldcat.org/oclc/802861","WorldCat Record")</f>
        <v>WorldCat Record</v>
      </c>
      <c r="AU137" s="3" t="s">
        <v>1639</v>
      </c>
      <c r="AV137" s="3" t="s">
        <v>1640</v>
      </c>
      <c r="AW137" s="3" t="s">
        <v>1641</v>
      </c>
      <c r="AX137" s="3" t="s">
        <v>1641</v>
      </c>
      <c r="AY137" s="3" t="s">
        <v>1642</v>
      </c>
      <c r="AZ137" s="3" t="s">
        <v>75</v>
      </c>
      <c r="BB137" s="3" t="s">
        <v>1643</v>
      </c>
      <c r="BC137" s="3" t="s">
        <v>1644</v>
      </c>
      <c r="BD137" s="3" t="s">
        <v>1645</v>
      </c>
    </row>
    <row r="138" spans="1:56" ht="44.25" customHeight="1" x14ac:dyDescent="0.25">
      <c r="A138" s="7" t="s">
        <v>61</v>
      </c>
      <c r="B138" s="2" t="s">
        <v>1646</v>
      </c>
      <c r="C138" s="2" t="s">
        <v>1647</v>
      </c>
      <c r="D138" s="2" t="s">
        <v>1648</v>
      </c>
      <c r="F138" s="3" t="s">
        <v>61</v>
      </c>
      <c r="G138" s="3" t="s">
        <v>60</v>
      </c>
      <c r="H138" s="3" t="s">
        <v>61</v>
      </c>
      <c r="I138" s="3" t="s">
        <v>61</v>
      </c>
      <c r="J138" s="3" t="s">
        <v>62</v>
      </c>
      <c r="K138" s="2" t="s">
        <v>1087</v>
      </c>
      <c r="L138" s="2" t="s">
        <v>1649</v>
      </c>
      <c r="M138" s="3" t="s">
        <v>1211</v>
      </c>
      <c r="O138" s="3" t="s">
        <v>114</v>
      </c>
      <c r="P138" s="3" t="s">
        <v>235</v>
      </c>
      <c r="R138" s="3" t="s">
        <v>68</v>
      </c>
      <c r="S138" s="4">
        <v>3</v>
      </c>
      <c r="T138" s="4">
        <v>3</v>
      </c>
      <c r="U138" s="5" t="s">
        <v>1650</v>
      </c>
      <c r="V138" s="5" t="s">
        <v>1650</v>
      </c>
      <c r="W138" s="5" t="s">
        <v>1090</v>
      </c>
      <c r="X138" s="5" t="s">
        <v>1090</v>
      </c>
      <c r="Y138" s="4">
        <v>627</v>
      </c>
      <c r="Z138" s="4">
        <v>531</v>
      </c>
      <c r="AA138" s="4">
        <v>539</v>
      </c>
      <c r="AB138" s="4">
        <v>3</v>
      </c>
      <c r="AC138" s="4">
        <v>3</v>
      </c>
      <c r="AD138" s="4">
        <v>27</v>
      </c>
      <c r="AE138" s="4">
        <v>27</v>
      </c>
      <c r="AF138" s="4">
        <v>11</v>
      </c>
      <c r="AG138" s="4">
        <v>11</v>
      </c>
      <c r="AH138" s="4">
        <v>9</v>
      </c>
      <c r="AI138" s="4">
        <v>9</v>
      </c>
      <c r="AJ138" s="4">
        <v>13</v>
      </c>
      <c r="AK138" s="4">
        <v>13</v>
      </c>
      <c r="AL138" s="4">
        <v>2</v>
      </c>
      <c r="AM138" s="4">
        <v>2</v>
      </c>
      <c r="AN138" s="4">
        <v>0</v>
      </c>
      <c r="AO138" s="4">
        <v>0</v>
      </c>
      <c r="AP138" s="3" t="s">
        <v>61</v>
      </c>
      <c r="AQ138" s="3" t="s">
        <v>59</v>
      </c>
      <c r="AR138" s="6" t="str">
        <f>HYPERLINK("http://catalog.hathitrust.org/Record/000395259","HathiTrust Record")</f>
        <v>HathiTrust Record</v>
      </c>
      <c r="AS138" s="6" t="str">
        <f>HYPERLINK("https://creighton-primo.hosted.exlibrisgroup.com/primo-explore/search?tab=default_tab&amp;search_scope=EVERYTHING&amp;vid=01CRU&amp;lang=en_US&amp;offset=0&amp;query=any,contains,991003164849702656","Catalog Record")</f>
        <v>Catalog Record</v>
      </c>
      <c r="AT138" s="6" t="str">
        <f>HYPERLINK("http://www.worldcat.org/oclc/702983","WorldCat Record")</f>
        <v>WorldCat Record</v>
      </c>
      <c r="AU138" s="3" t="s">
        <v>1651</v>
      </c>
      <c r="AV138" s="3" t="s">
        <v>1652</v>
      </c>
      <c r="AW138" s="3" t="s">
        <v>1653</v>
      </c>
      <c r="AX138" s="3" t="s">
        <v>1653</v>
      </c>
      <c r="AY138" s="3" t="s">
        <v>1654</v>
      </c>
      <c r="AZ138" s="3" t="s">
        <v>75</v>
      </c>
      <c r="BB138" s="3" t="s">
        <v>1655</v>
      </c>
      <c r="BC138" s="3" t="s">
        <v>1656</v>
      </c>
      <c r="BD138" s="3" t="s">
        <v>1657</v>
      </c>
    </row>
    <row r="139" spans="1:56" ht="44.25" customHeight="1" x14ac:dyDescent="0.25">
      <c r="A139" s="7" t="s">
        <v>61</v>
      </c>
      <c r="B139" s="2" t="s">
        <v>1658</v>
      </c>
      <c r="C139" s="2" t="s">
        <v>1659</v>
      </c>
      <c r="D139" s="2" t="s">
        <v>1660</v>
      </c>
      <c r="F139" s="3" t="s">
        <v>61</v>
      </c>
      <c r="G139" s="3" t="s">
        <v>60</v>
      </c>
      <c r="H139" s="3" t="s">
        <v>61</v>
      </c>
      <c r="I139" s="3" t="s">
        <v>61</v>
      </c>
      <c r="J139" s="3" t="s">
        <v>62</v>
      </c>
      <c r="K139" s="2" t="s">
        <v>1661</v>
      </c>
      <c r="L139" s="2" t="s">
        <v>1662</v>
      </c>
      <c r="M139" s="3" t="s">
        <v>1332</v>
      </c>
      <c r="O139" s="3" t="s">
        <v>114</v>
      </c>
      <c r="P139" s="3" t="s">
        <v>235</v>
      </c>
      <c r="R139" s="3" t="s">
        <v>68</v>
      </c>
      <c r="S139" s="4">
        <v>3</v>
      </c>
      <c r="T139" s="4">
        <v>3</v>
      </c>
      <c r="U139" s="5" t="s">
        <v>1650</v>
      </c>
      <c r="V139" s="5" t="s">
        <v>1650</v>
      </c>
      <c r="W139" s="5" t="s">
        <v>1090</v>
      </c>
      <c r="X139" s="5" t="s">
        <v>1090</v>
      </c>
      <c r="Y139" s="4">
        <v>692</v>
      </c>
      <c r="Z139" s="4">
        <v>629</v>
      </c>
      <c r="AA139" s="4">
        <v>686</v>
      </c>
      <c r="AB139" s="4">
        <v>6</v>
      </c>
      <c r="AC139" s="4">
        <v>6</v>
      </c>
      <c r="AD139" s="4">
        <v>37</v>
      </c>
      <c r="AE139" s="4">
        <v>37</v>
      </c>
      <c r="AF139" s="4">
        <v>14</v>
      </c>
      <c r="AG139" s="4">
        <v>14</v>
      </c>
      <c r="AH139" s="4">
        <v>9</v>
      </c>
      <c r="AI139" s="4">
        <v>9</v>
      </c>
      <c r="AJ139" s="4">
        <v>17</v>
      </c>
      <c r="AK139" s="4">
        <v>17</v>
      </c>
      <c r="AL139" s="4">
        <v>5</v>
      </c>
      <c r="AM139" s="4">
        <v>5</v>
      </c>
      <c r="AN139" s="4">
        <v>0</v>
      </c>
      <c r="AO139" s="4">
        <v>0</v>
      </c>
      <c r="AP139" s="3" t="s">
        <v>59</v>
      </c>
      <c r="AQ139" s="3" t="s">
        <v>61</v>
      </c>
      <c r="AR139" s="6" t="str">
        <f>HYPERLINK("http://catalog.hathitrust.org/Record/000395268","HathiTrust Record")</f>
        <v>HathiTrust Record</v>
      </c>
      <c r="AS139" s="6" t="str">
        <f>HYPERLINK("https://creighton-primo.hosted.exlibrisgroup.com/primo-explore/search?tab=default_tab&amp;search_scope=EVERYTHING&amp;vid=01CRU&amp;lang=en_US&amp;offset=0&amp;query=any,contains,991003517779702656","Catalog Record")</f>
        <v>Catalog Record</v>
      </c>
      <c r="AT139" s="6" t="str">
        <f>HYPERLINK("http://www.worldcat.org/oclc/1076222","WorldCat Record")</f>
        <v>WorldCat Record</v>
      </c>
      <c r="AU139" s="3" t="s">
        <v>1663</v>
      </c>
      <c r="AV139" s="3" t="s">
        <v>1664</v>
      </c>
      <c r="AW139" s="3" t="s">
        <v>1665</v>
      </c>
      <c r="AX139" s="3" t="s">
        <v>1665</v>
      </c>
      <c r="AY139" s="3" t="s">
        <v>1666</v>
      </c>
      <c r="AZ139" s="3" t="s">
        <v>75</v>
      </c>
      <c r="BC139" s="3" t="s">
        <v>1667</v>
      </c>
      <c r="BD139" s="3" t="s">
        <v>1668</v>
      </c>
    </row>
    <row r="140" spans="1:56" ht="44.25" customHeight="1" x14ac:dyDescent="0.25">
      <c r="A140" s="7" t="s">
        <v>61</v>
      </c>
      <c r="B140" s="2" t="s">
        <v>1669</v>
      </c>
      <c r="C140" s="2" t="s">
        <v>1670</v>
      </c>
      <c r="D140" s="2" t="s">
        <v>1671</v>
      </c>
      <c r="F140" s="3" t="s">
        <v>61</v>
      </c>
      <c r="G140" s="3" t="s">
        <v>60</v>
      </c>
      <c r="H140" s="3" t="s">
        <v>61</v>
      </c>
      <c r="I140" s="3" t="s">
        <v>61</v>
      </c>
      <c r="J140" s="3" t="s">
        <v>62</v>
      </c>
      <c r="K140" s="2" t="s">
        <v>1672</v>
      </c>
      <c r="L140" s="2" t="s">
        <v>1673</v>
      </c>
      <c r="M140" s="3" t="s">
        <v>1198</v>
      </c>
      <c r="O140" s="3" t="s">
        <v>114</v>
      </c>
      <c r="P140" s="3" t="s">
        <v>1674</v>
      </c>
      <c r="Q140" s="2" t="s">
        <v>1675</v>
      </c>
      <c r="R140" s="3" t="s">
        <v>68</v>
      </c>
      <c r="S140" s="4">
        <v>1</v>
      </c>
      <c r="T140" s="4">
        <v>1</v>
      </c>
      <c r="U140" s="5" t="s">
        <v>1676</v>
      </c>
      <c r="V140" s="5" t="s">
        <v>1676</v>
      </c>
      <c r="W140" s="5" t="s">
        <v>607</v>
      </c>
      <c r="X140" s="5" t="s">
        <v>607</v>
      </c>
      <c r="Y140" s="4">
        <v>130</v>
      </c>
      <c r="Z140" s="4">
        <v>119</v>
      </c>
      <c r="AA140" s="4">
        <v>131</v>
      </c>
      <c r="AB140" s="4">
        <v>4</v>
      </c>
      <c r="AC140" s="4">
        <v>4</v>
      </c>
      <c r="AD140" s="4">
        <v>5</v>
      </c>
      <c r="AE140" s="4">
        <v>5</v>
      </c>
      <c r="AF140" s="4">
        <v>0</v>
      </c>
      <c r="AG140" s="4">
        <v>0</v>
      </c>
      <c r="AH140" s="4">
        <v>1</v>
      </c>
      <c r="AI140" s="4">
        <v>1</v>
      </c>
      <c r="AJ140" s="4">
        <v>2</v>
      </c>
      <c r="AK140" s="4">
        <v>2</v>
      </c>
      <c r="AL140" s="4">
        <v>2</v>
      </c>
      <c r="AM140" s="4">
        <v>2</v>
      </c>
      <c r="AN140" s="4">
        <v>0</v>
      </c>
      <c r="AO140" s="4">
        <v>0</v>
      </c>
      <c r="AP140" s="3" t="s">
        <v>61</v>
      </c>
      <c r="AQ140" s="3" t="s">
        <v>61</v>
      </c>
      <c r="AS140" s="6" t="str">
        <f>HYPERLINK("https://creighton-primo.hosted.exlibrisgroup.com/primo-explore/search?tab=default_tab&amp;search_scope=EVERYTHING&amp;vid=01CRU&amp;lang=en_US&amp;offset=0&amp;query=any,contains,991004220419702656","Catalog Record")</f>
        <v>Catalog Record</v>
      </c>
      <c r="AT140" s="6" t="str">
        <f>HYPERLINK("http://www.worldcat.org/oclc/2710556","WorldCat Record")</f>
        <v>WorldCat Record</v>
      </c>
      <c r="AU140" s="3" t="s">
        <v>1677</v>
      </c>
      <c r="AV140" s="3" t="s">
        <v>1678</v>
      </c>
      <c r="AW140" s="3" t="s">
        <v>1679</v>
      </c>
      <c r="AX140" s="3" t="s">
        <v>1679</v>
      </c>
      <c r="AY140" s="3" t="s">
        <v>1680</v>
      </c>
      <c r="AZ140" s="3" t="s">
        <v>75</v>
      </c>
      <c r="BC140" s="3" t="s">
        <v>1681</v>
      </c>
      <c r="BD140" s="3" t="s">
        <v>1682</v>
      </c>
    </row>
    <row r="141" spans="1:56" ht="44.25" customHeight="1" x14ac:dyDescent="0.25">
      <c r="A141" s="7" t="s">
        <v>61</v>
      </c>
      <c r="B141" s="2" t="s">
        <v>1683</v>
      </c>
      <c r="C141" s="2" t="s">
        <v>1684</v>
      </c>
      <c r="D141" s="2" t="s">
        <v>1685</v>
      </c>
      <c r="F141" s="3" t="s">
        <v>61</v>
      </c>
      <c r="G141" s="3" t="s">
        <v>60</v>
      </c>
      <c r="H141" s="3" t="s">
        <v>61</v>
      </c>
      <c r="I141" s="3" t="s">
        <v>61</v>
      </c>
      <c r="J141" s="3" t="s">
        <v>62</v>
      </c>
      <c r="K141" s="2" t="s">
        <v>1686</v>
      </c>
      <c r="L141" s="2" t="s">
        <v>1687</v>
      </c>
      <c r="M141" s="3" t="s">
        <v>1185</v>
      </c>
      <c r="O141" s="3" t="s">
        <v>114</v>
      </c>
      <c r="P141" s="3" t="s">
        <v>192</v>
      </c>
      <c r="R141" s="3" t="s">
        <v>68</v>
      </c>
      <c r="S141" s="4">
        <v>2</v>
      </c>
      <c r="T141" s="4">
        <v>2</v>
      </c>
      <c r="U141" s="5" t="s">
        <v>1688</v>
      </c>
      <c r="V141" s="5" t="s">
        <v>1688</v>
      </c>
      <c r="W141" s="5" t="s">
        <v>1090</v>
      </c>
      <c r="X141" s="5" t="s">
        <v>1090</v>
      </c>
      <c r="Y141" s="4">
        <v>405</v>
      </c>
      <c r="Z141" s="4">
        <v>316</v>
      </c>
      <c r="AA141" s="4">
        <v>445</v>
      </c>
      <c r="AB141" s="4">
        <v>4</v>
      </c>
      <c r="AC141" s="4">
        <v>4</v>
      </c>
      <c r="AD141" s="4">
        <v>16</v>
      </c>
      <c r="AE141" s="4">
        <v>33</v>
      </c>
      <c r="AF141" s="4">
        <v>6</v>
      </c>
      <c r="AG141" s="4">
        <v>12</v>
      </c>
      <c r="AH141" s="4">
        <v>6</v>
      </c>
      <c r="AI141" s="4">
        <v>9</v>
      </c>
      <c r="AJ141" s="4">
        <v>8</v>
      </c>
      <c r="AK141" s="4">
        <v>22</v>
      </c>
      <c r="AL141" s="4">
        <v>2</v>
      </c>
      <c r="AM141" s="4">
        <v>2</v>
      </c>
      <c r="AN141" s="4">
        <v>0</v>
      </c>
      <c r="AO141" s="4">
        <v>0</v>
      </c>
      <c r="AP141" s="3" t="s">
        <v>61</v>
      </c>
      <c r="AQ141" s="3" t="s">
        <v>59</v>
      </c>
      <c r="AR141" s="6" t="str">
        <f>HYPERLINK("http://catalog.hathitrust.org/Record/000665790","HathiTrust Record")</f>
        <v>HathiTrust Record</v>
      </c>
      <c r="AS141" s="6" t="str">
        <f>HYPERLINK("https://creighton-primo.hosted.exlibrisgroup.com/primo-explore/search?tab=default_tab&amp;search_scope=EVERYTHING&amp;vid=01CRU&amp;lang=en_US&amp;offset=0&amp;query=any,contains,991003250919702656","Catalog Record")</f>
        <v>Catalog Record</v>
      </c>
      <c r="AT141" s="6" t="str">
        <f>HYPERLINK("http://www.worldcat.org/oclc/775604","WorldCat Record")</f>
        <v>WorldCat Record</v>
      </c>
      <c r="AU141" s="3" t="s">
        <v>1689</v>
      </c>
      <c r="AV141" s="3" t="s">
        <v>1690</v>
      </c>
      <c r="AW141" s="3" t="s">
        <v>1691</v>
      </c>
      <c r="AX141" s="3" t="s">
        <v>1691</v>
      </c>
      <c r="AY141" s="3" t="s">
        <v>1692</v>
      </c>
      <c r="AZ141" s="3" t="s">
        <v>75</v>
      </c>
      <c r="BC141" s="3" t="s">
        <v>1693</v>
      </c>
      <c r="BD141" s="3" t="s">
        <v>1694</v>
      </c>
    </row>
    <row r="142" spans="1:56" ht="44.25" customHeight="1" x14ac:dyDescent="0.25">
      <c r="A142" s="7" t="s">
        <v>61</v>
      </c>
      <c r="B142" s="2" t="s">
        <v>1695</v>
      </c>
      <c r="C142" s="2" t="s">
        <v>1696</v>
      </c>
      <c r="D142" s="2" t="s">
        <v>1697</v>
      </c>
      <c r="F142" s="3" t="s">
        <v>61</v>
      </c>
      <c r="G142" s="3" t="s">
        <v>60</v>
      </c>
      <c r="H142" s="3" t="s">
        <v>61</v>
      </c>
      <c r="I142" s="3" t="s">
        <v>61</v>
      </c>
      <c r="J142" s="3" t="s">
        <v>62</v>
      </c>
      <c r="K142" s="2" t="s">
        <v>1698</v>
      </c>
      <c r="L142" s="2" t="s">
        <v>1699</v>
      </c>
      <c r="M142" s="3" t="s">
        <v>942</v>
      </c>
      <c r="O142" s="3" t="s">
        <v>114</v>
      </c>
      <c r="P142" s="3" t="s">
        <v>1114</v>
      </c>
      <c r="Q142" s="2" t="s">
        <v>1700</v>
      </c>
      <c r="R142" s="3" t="s">
        <v>68</v>
      </c>
      <c r="S142" s="4">
        <v>3</v>
      </c>
      <c r="T142" s="4">
        <v>3</v>
      </c>
      <c r="U142" s="5" t="s">
        <v>1701</v>
      </c>
      <c r="V142" s="5" t="s">
        <v>1701</v>
      </c>
      <c r="W142" s="5" t="s">
        <v>1702</v>
      </c>
      <c r="X142" s="5" t="s">
        <v>1702</v>
      </c>
      <c r="Y142" s="4">
        <v>480</v>
      </c>
      <c r="Z142" s="4">
        <v>416</v>
      </c>
      <c r="AA142" s="4">
        <v>495</v>
      </c>
      <c r="AB142" s="4">
        <v>4</v>
      </c>
      <c r="AC142" s="4">
        <v>4</v>
      </c>
      <c r="AD142" s="4">
        <v>23</v>
      </c>
      <c r="AE142" s="4">
        <v>24</v>
      </c>
      <c r="AF142" s="4">
        <v>7</v>
      </c>
      <c r="AG142" s="4">
        <v>7</v>
      </c>
      <c r="AH142" s="4">
        <v>5</v>
      </c>
      <c r="AI142" s="4">
        <v>5</v>
      </c>
      <c r="AJ142" s="4">
        <v>14</v>
      </c>
      <c r="AK142" s="4">
        <v>15</v>
      </c>
      <c r="AL142" s="4">
        <v>3</v>
      </c>
      <c r="AM142" s="4">
        <v>3</v>
      </c>
      <c r="AN142" s="4">
        <v>0</v>
      </c>
      <c r="AO142" s="4">
        <v>0</v>
      </c>
      <c r="AP142" s="3" t="s">
        <v>61</v>
      </c>
      <c r="AQ142" s="3" t="s">
        <v>59</v>
      </c>
      <c r="AR142" s="6" t="str">
        <f>HYPERLINK("http://catalog.hathitrust.org/Record/000667547","HathiTrust Record")</f>
        <v>HathiTrust Record</v>
      </c>
      <c r="AS142" s="6" t="str">
        <f>HYPERLINK("https://creighton-primo.hosted.exlibrisgroup.com/primo-explore/search?tab=default_tab&amp;search_scope=EVERYTHING&amp;vid=01CRU&amp;lang=en_US&amp;offset=0&amp;query=any,contains,991003257789702656","Catalog Record")</f>
        <v>Catalog Record</v>
      </c>
      <c r="AT142" s="6" t="str">
        <f>HYPERLINK("http://www.worldcat.org/oclc/783449","WorldCat Record")</f>
        <v>WorldCat Record</v>
      </c>
      <c r="AU142" s="3" t="s">
        <v>1703</v>
      </c>
      <c r="AV142" s="3" t="s">
        <v>1704</v>
      </c>
      <c r="AW142" s="3" t="s">
        <v>1705</v>
      </c>
      <c r="AX142" s="3" t="s">
        <v>1705</v>
      </c>
      <c r="AY142" s="3" t="s">
        <v>1706</v>
      </c>
      <c r="AZ142" s="3" t="s">
        <v>75</v>
      </c>
      <c r="BC142" s="3" t="s">
        <v>1707</v>
      </c>
      <c r="BD142" s="3" t="s">
        <v>1708</v>
      </c>
    </row>
    <row r="143" spans="1:56" ht="44.25" customHeight="1" x14ac:dyDescent="0.25">
      <c r="A143" s="7" t="s">
        <v>61</v>
      </c>
      <c r="B143" s="2" t="s">
        <v>1709</v>
      </c>
      <c r="C143" s="2" t="s">
        <v>1710</v>
      </c>
      <c r="D143" s="2" t="s">
        <v>1711</v>
      </c>
      <c r="F143" s="3" t="s">
        <v>61</v>
      </c>
      <c r="G143" s="3" t="s">
        <v>60</v>
      </c>
      <c r="H143" s="3" t="s">
        <v>61</v>
      </c>
      <c r="I143" s="3" t="s">
        <v>61</v>
      </c>
      <c r="J143" s="3" t="s">
        <v>62</v>
      </c>
      <c r="K143" s="2" t="s">
        <v>1712</v>
      </c>
      <c r="L143" s="2" t="s">
        <v>1713</v>
      </c>
      <c r="M143" s="3" t="s">
        <v>305</v>
      </c>
      <c r="N143" s="2" t="s">
        <v>1714</v>
      </c>
      <c r="O143" s="3" t="s">
        <v>1715</v>
      </c>
      <c r="P143" s="3" t="s">
        <v>1716</v>
      </c>
      <c r="Q143" s="2" t="s">
        <v>1717</v>
      </c>
      <c r="R143" s="3" t="s">
        <v>68</v>
      </c>
      <c r="S143" s="4">
        <v>1</v>
      </c>
      <c r="T143" s="4">
        <v>1</v>
      </c>
      <c r="U143" s="5" t="s">
        <v>872</v>
      </c>
      <c r="V143" s="5" t="s">
        <v>872</v>
      </c>
      <c r="W143" s="5" t="s">
        <v>872</v>
      </c>
      <c r="X143" s="5" t="s">
        <v>872</v>
      </c>
      <c r="Y143" s="4">
        <v>109</v>
      </c>
      <c r="Z143" s="4">
        <v>76</v>
      </c>
      <c r="AA143" s="4">
        <v>98</v>
      </c>
      <c r="AB143" s="4">
        <v>1</v>
      </c>
      <c r="AC143" s="4">
        <v>1</v>
      </c>
      <c r="AD143" s="4">
        <v>7</v>
      </c>
      <c r="AE143" s="4">
        <v>8</v>
      </c>
      <c r="AF143" s="4">
        <v>2</v>
      </c>
      <c r="AG143" s="4">
        <v>2</v>
      </c>
      <c r="AH143" s="4">
        <v>1</v>
      </c>
      <c r="AI143" s="4">
        <v>2</v>
      </c>
      <c r="AJ143" s="4">
        <v>7</v>
      </c>
      <c r="AK143" s="4">
        <v>8</v>
      </c>
      <c r="AL143" s="4">
        <v>0</v>
      </c>
      <c r="AM143" s="4">
        <v>0</v>
      </c>
      <c r="AN143" s="4">
        <v>0</v>
      </c>
      <c r="AO143" s="4">
        <v>0</v>
      </c>
      <c r="AP143" s="3" t="s">
        <v>61</v>
      </c>
      <c r="AQ143" s="3" t="s">
        <v>61</v>
      </c>
      <c r="AS143" s="6" t="str">
        <f>HYPERLINK("https://creighton-primo.hosted.exlibrisgroup.com/primo-explore/search?tab=default_tab&amp;search_scope=EVERYTHING&amp;vid=01CRU&amp;lang=en_US&amp;offset=0&amp;query=any,contains,991003613919702656","Catalog Record")</f>
        <v>Catalog Record</v>
      </c>
      <c r="AT143" s="6" t="str">
        <f>HYPERLINK("http://www.worldcat.org/oclc/2140625","WorldCat Record")</f>
        <v>WorldCat Record</v>
      </c>
      <c r="AU143" s="3" t="s">
        <v>1718</v>
      </c>
      <c r="AV143" s="3" t="s">
        <v>1719</v>
      </c>
      <c r="AW143" s="3" t="s">
        <v>1720</v>
      </c>
      <c r="AX143" s="3" t="s">
        <v>1720</v>
      </c>
      <c r="AY143" s="3" t="s">
        <v>1721</v>
      </c>
      <c r="AZ143" s="3" t="s">
        <v>75</v>
      </c>
      <c r="BB143" s="3" t="s">
        <v>1722</v>
      </c>
      <c r="BC143" s="3" t="s">
        <v>1723</v>
      </c>
      <c r="BD143" s="3" t="s">
        <v>1724</v>
      </c>
    </row>
    <row r="144" spans="1:56" ht="44.25" customHeight="1" x14ac:dyDescent="0.25">
      <c r="A144" s="7" t="s">
        <v>61</v>
      </c>
      <c r="B144" s="2" t="s">
        <v>1725</v>
      </c>
      <c r="C144" s="2" t="s">
        <v>1726</v>
      </c>
      <c r="D144" s="2" t="s">
        <v>1727</v>
      </c>
      <c r="E144" s="3" t="s">
        <v>141</v>
      </c>
      <c r="F144" s="3" t="s">
        <v>59</v>
      </c>
      <c r="G144" s="3" t="s">
        <v>60</v>
      </c>
      <c r="H144" s="3" t="s">
        <v>61</v>
      </c>
      <c r="I144" s="3" t="s">
        <v>59</v>
      </c>
      <c r="J144" s="3" t="s">
        <v>62</v>
      </c>
      <c r="K144" s="2" t="s">
        <v>1728</v>
      </c>
      <c r="L144" s="2" t="s">
        <v>1729</v>
      </c>
      <c r="M144" s="3" t="s">
        <v>1185</v>
      </c>
      <c r="O144" s="3" t="s">
        <v>114</v>
      </c>
      <c r="P144" s="3" t="s">
        <v>1439</v>
      </c>
      <c r="R144" s="3" t="s">
        <v>68</v>
      </c>
      <c r="S144" s="4">
        <v>4</v>
      </c>
      <c r="T144" s="4">
        <v>10</v>
      </c>
      <c r="U144" s="5" t="s">
        <v>1730</v>
      </c>
      <c r="V144" s="5" t="s">
        <v>1731</v>
      </c>
      <c r="W144" s="5" t="s">
        <v>1732</v>
      </c>
      <c r="X144" s="5" t="s">
        <v>1732</v>
      </c>
      <c r="Y144" s="4">
        <v>581</v>
      </c>
      <c r="Z144" s="4">
        <v>525</v>
      </c>
      <c r="AA144" s="4">
        <v>1376</v>
      </c>
      <c r="AB144" s="4">
        <v>5</v>
      </c>
      <c r="AC144" s="4">
        <v>14</v>
      </c>
      <c r="AD144" s="4">
        <v>31</v>
      </c>
      <c r="AE144" s="4">
        <v>61</v>
      </c>
      <c r="AF144" s="4">
        <v>12</v>
      </c>
      <c r="AG144" s="4">
        <v>27</v>
      </c>
      <c r="AH144" s="4">
        <v>7</v>
      </c>
      <c r="AI144" s="4">
        <v>9</v>
      </c>
      <c r="AJ144" s="4">
        <v>17</v>
      </c>
      <c r="AK144" s="4">
        <v>27</v>
      </c>
      <c r="AL144" s="4">
        <v>4</v>
      </c>
      <c r="AM144" s="4">
        <v>11</v>
      </c>
      <c r="AN144" s="4">
        <v>0</v>
      </c>
      <c r="AO144" s="4">
        <v>0</v>
      </c>
      <c r="AP144" s="3" t="s">
        <v>59</v>
      </c>
      <c r="AQ144" s="3" t="s">
        <v>59</v>
      </c>
      <c r="AR144" s="6" t="str">
        <f>HYPERLINK("http://catalog.hathitrust.org/Record/003910652","HathiTrust Record")</f>
        <v>HathiTrust Record</v>
      </c>
      <c r="AS144" s="6" t="str">
        <f>HYPERLINK("https://creighton-primo.hosted.exlibrisgroup.com/primo-explore/search?tab=default_tab&amp;search_scope=EVERYTHING&amp;vid=01CRU&amp;lang=en_US&amp;offset=0&amp;query=any,contains,991003853059702656","Catalog Record")</f>
        <v>Catalog Record</v>
      </c>
      <c r="AT144" s="6" t="str">
        <f>HYPERLINK("http://www.worldcat.org/oclc/1649312","WorldCat Record")</f>
        <v>WorldCat Record</v>
      </c>
      <c r="AU144" s="3" t="s">
        <v>1733</v>
      </c>
      <c r="AV144" s="3" t="s">
        <v>1734</v>
      </c>
      <c r="AW144" s="3" t="s">
        <v>1735</v>
      </c>
      <c r="AX144" s="3" t="s">
        <v>1735</v>
      </c>
      <c r="AY144" s="3" t="s">
        <v>1736</v>
      </c>
      <c r="AZ144" s="3" t="s">
        <v>75</v>
      </c>
      <c r="BC144" s="3" t="s">
        <v>1737</v>
      </c>
      <c r="BD144" s="3" t="s">
        <v>1738</v>
      </c>
    </row>
    <row r="145" spans="1:56" ht="44.25" customHeight="1" x14ac:dyDescent="0.25">
      <c r="A145" s="7" t="s">
        <v>61</v>
      </c>
      <c r="B145" s="2" t="s">
        <v>1739</v>
      </c>
      <c r="C145" s="2" t="s">
        <v>1740</v>
      </c>
      <c r="D145" s="2" t="s">
        <v>1741</v>
      </c>
      <c r="F145" s="3" t="s">
        <v>61</v>
      </c>
      <c r="G145" s="3" t="s">
        <v>60</v>
      </c>
      <c r="H145" s="3" t="s">
        <v>61</v>
      </c>
      <c r="I145" s="3" t="s">
        <v>61</v>
      </c>
      <c r="J145" s="3" t="s">
        <v>62</v>
      </c>
      <c r="K145" s="2" t="s">
        <v>1742</v>
      </c>
      <c r="L145" s="2" t="s">
        <v>1743</v>
      </c>
      <c r="M145" s="3" t="s">
        <v>1744</v>
      </c>
      <c r="O145" s="3" t="s">
        <v>114</v>
      </c>
      <c r="P145" s="3" t="s">
        <v>235</v>
      </c>
      <c r="R145" s="3" t="s">
        <v>68</v>
      </c>
      <c r="S145" s="4">
        <v>4</v>
      </c>
      <c r="T145" s="4">
        <v>4</v>
      </c>
      <c r="U145" s="5" t="s">
        <v>1745</v>
      </c>
      <c r="V145" s="5" t="s">
        <v>1745</v>
      </c>
      <c r="W145" s="5" t="s">
        <v>1746</v>
      </c>
      <c r="X145" s="5" t="s">
        <v>1746</v>
      </c>
      <c r="Y145" s="4">
        <v>830</v>
      </c>
      <c r="Z145" s="4">
        <v>803</v>
      </c>
      <c r="AA145" s="4">
        <v>996</v>
      </c>
      <c r="AB145" s="4">
        <v>7</v>
      </c>
      <c r="AC145" s="4">
        <v>9</v>
      </c>
      <c r="AD145" s="4">
        <v>21</v>
      </c>
      <c r="AE145" s="4">
        <v>32</v>
      </c>
      <c r="AF145" s="4">
        <v>8</v>
      </c>
      <c r="AG145" s="4">
        <v>13</v>
      </c>
      <c r="AH145" s="4">
        <v>5</v>
      </c>
      <c r="AI145" s="4">
        <v>6</v>
      </c>
      <c r="AJ145" s="4">
        <v>12</v>
      </c>
      <c r="AK145" s="4">
        <v>17</v>
      </c>
      <c r="AL145" s="4">
        <v>3</v>
      </c>
      <c r="AM145" s="4">
        <v>4</v>
      </c>
      <c r="AN145" s="4">
        <v>0</v>
      </c>
      <c r="AO145" s="4">
        <v>0</v>
      </c>
      <c r="AP145" s="3" t="s">
        <v>61</v>
      </c>
      <c r="AQ145" s="3" t="s">
        <v>61</v>
      </c>
      <c r="AR145" s="6" t="str">
        <f>HYPERLINK("http://catalog.hathitrust.org/Record/000555859","HathiTrust Record")</f>
        <v>HathiTrust Record</v>
      </c>
      <c r="AS145" s="6" t="str">
        <f>HYPERLINK("https://creighton-primo.hosted.exlibrisgroup.com/primo-explore/search?tab=default_tab&amp;search_scope=EVERYTHING&amp;vid=01CRU&amp;lang=en_US&amp;offset=0&amp;query=any,contains,991002661949702656","Catalog Record")</f>
        <v>Catalog Record</v>
      </c>
      <c r="AT145" s="6" t="str">
        <f>HYPERLINK("http://www.worldcat.org/oclc/391790","WorldCat Record")</f>
        <v>WorldCat Record</v>
      </c>
      <c r="AU145" s="3" t="s">
        <v>1747</v>
      </c>
      <c r="AV145" s="3" t="s">
        <v>1748</v>
      </c>
      <c r="AW145" s="3" t="s">
        <v>1749</v>
      </c>
      <c r="AX145" s="3" t="s">
        <v>1749</v>
      </c>
      <c r="AY145" s="3" t="s">
        <v>1750</v>
      </c>
      <c r="AZ145" s="3" t="s">
        <v>75</v>
      </c>
      <c r="BC145" s="3" t="s">
        <v>1751</v>
      </c>
      <c r="BD145" s="3" t="s">
        <v>1752</v>
      </c>
    </row>
    <row r="146" spans="1:56" ht="44.25" customHeight="1" x14ac:dyDescent="0.25">
      <c r="A146" s="7" t="s">
        <v>61</v>
      </c>
      <c r="B146" s="2" t="s">
        <v>1753</v>
      </c>
      <c r="C146" s="2" t="s">
        <v>1754</v>
      </c>
      <c r="D146" s="2" t="s">
        <v>1755</v>
      </c>
      <c r="F146" s="3" t="s">
        <v>61</v>
      </c>
      <c r="G146" s="3" t="s">
        <v>60</v>
      </c>
      <c r="H146" s="3" t="s">
        <v>61</v>
      </c>
      <c r="I146" s="3" t="s">
        <v>61</v>
      </c>
      <c r="J146" s="3" t="s">
        <v>62</v>
      </c>
      <c r="K146" s="2" t="s">
        <v>1756</v>
      </c>
      <c r="L146" s="2" t="s">
        <v>1757</v>
      </c>
      <c r="M146" s="3" t="s">
        <v>1758</v>
      </c>
      <c r="O146" s="3" t="s">
        <v>114</v>
      </c>
      <c r="P146" s="3" t="s">
        <v>1759</v>
      </c>
      <c r="R146" s="3" t="s">
        <v>68</v>
      </c>
      <c r="S146" s="4">
        <v>2</v>
      </c>
      <c r="T146" s="4">
        <v>2</v>
      </c>
      <c r="U146" s="5" t="s">
        <v>1760</v>
      </c>
      <c r="V146" s="5" t="s">
        <v>1760</v>
      </c>
      <c r="W146" s="5" t="s">
        <v>1761</v>
      </c>
      <c r="X146" s="5" t="s">
        <v>1761</v>
      </c>
      <c r="Y146" s="4">
        <v>1109</v>
      </c>
      <c r="Z146" s="4">
        <v>1003</v>
      </c>
      <c r="AA146" s="4">
        <v>1007</v>
      </c>
      <c r="AB146" s="4">
        <v>6</v>
      </c>
      <c r="AC146" s="4">
        <v>6</v>
      </c>
      <c r="AD146" s="4">
        <v>27</v>
      </c>
      <c r="AE146" s="4">
        <v>27</v>
      </c>
      <c r="AF146" s="4">
        <v>11</v>
      </c>
      <c r="AG146" s="4">
        <v>11</v>
      </c>
      <c r="AH146" s="4">
        <v>6</v>
      </c>
      <c r="AI146" s="4">
        <v>6</v>
      </c>
      <c r="AJ146" s="4">
        <v>14</v>
      </c>
      <c r="AK146" s="4">
        <v>14</v>
      </c>
      <c r="AL146" s="4">
        <v>3</v>
      </c>
      <c r="AM146" s="4">
        <v>3</v>
      </c>
      <c r="AN146" s="4">
        <v>1</v>
      </c>
      <c r="AO146" s="4">
        <v>1</v>
      </c>
      <c r="AP146" s="3" t="s">
        <v>61</v>
      </c>
      <c r="AQ146" s="3" t="s">
        <v>59</v>
      </c>
      <c r="AR146" s="6" t="str">
        <f>HYPERLINK("http://catalog.hathitrust.org/Record/000142651","HathiTrust Record")</f>
        <v>HathiTrust Record</v>
      </c>
      <c r="AS146" s="6" t="str">
        <f>HYPERLINK("https://creighton-primo.hosted.exlibrisgroup.com/primo-explore/search?tab=default_tab&amp;search_scope=EVERYTHING&amp;vid=01CRU&amp;lang=en_US&amp;offset=0&amp;query=any,contains,991005114149702656","Catalog Record")</f>
        <v>Catalog Record</v>
      </c>
      <c r="AT146" s="6" t="str">
        <f>HYPERLINK("http://www.worldcat.org/oclc/7460590","WorldCat Record")</f>
        <v>WorldCat Record</v>
      </c>
      <c r="AU146" s="3" t="s">
        <v>1762</v>
      </c>
      <c r="AV146" s="3" t="s">
        <v>1763</v>
      </c>
      <c r="AW146" s="3" t="s">
        <v>1764</v>
      </c>
      <c r="AX146" s="3" t="s">
        <v>1764</v>
      </c>
      <c r="AY146" s="3" t="s">
        <v>1765</v>
      </c>
      <c r="AZ146" s="3" t="s">
        <v>75</v>
      </c>
      <c r="BB146" s="3" t="s">
        <v>1766</v>
      </c>
      <c r="BC146" s="3" t="s">
        <v>1767</v>
      </c>
      <c r="BD146" s="3" t="s">
        <v>1768</v>
      </c>
    </row>
    <row r="147" spans="1:56" ht="44.25" customHeight="1" x14ac:dyDescent="0.25">
      <c r="A147" s="7" t="s">
        <v>61</v>
      </c>
      <c r="B147" s="2" t="s">
        <v>1769</v>
      </c>
      <c r="C147" s="2" t="s">
        <v>1770</v>
      </c>
      <c r="D147" s="2" t="s">
        <v>1771</v>
      </c>
      <c r="F147" s="3" t="s">
        <v>61</v>
      </c>
      <c r="G147" s="3" t="s">
        <v>60</v>
      </c>
      <c r="H147" s="3" t="s">
        <v>61</v>
      </c>
      <c r="I147" s="3" t="s">
        <v>61</v>
      </c>
      <c r="J147" s="3" t="s">
        <v>62</v>
      </c>
      <c r="K147" s="2" t="s">
        <v>1772</v>
      </c>
      <c r="L147" s="2" t="s">
        <v>1773</v>
      </c>
      <c r="M147" s="3" t="s">
        <v>796</v>
      </c>
      <c r="O147" s="3" t="s">
        <v>114</v>
      </c>
      <c r="P147" s="3" t="s">
        <v>235</v>
      </c>
      <c r="R147" s="3" t="s">
        <v>68</v>
      </c>
      <c r="S147" s="4">
        <v>1</v>
      </c>
      <c r="T147" s="4">
        <v>1</v>
      </c>
      <c r="U147" s="5" t="s">
        <v>1774</v>
      </c>
      <c r="V147" s="5" t="s">
        <v>1774</v>
      </c>
      <c r="W147" s="5" t="s">
        <v>1761</v>
      </c>
      <c r="X147" s="5" t="s">
        <v>1761</v>
      </c>
      <c r="Y147" s="4">
        <v>412</v>
      </c>
      <c r="Z147" s="4">
        <v>343</v>
      </c>
      <c r="AA147" s="4">
        <v>379</v>
      </c>
      <c r="AB147" s="4">
        <v>1</v>
      </c>
      <c r="AC147" s="4">
        <v>2</v>
      </c>
      <c r="AD147" s="4">
        <v>17</v>
      </c>
      <c r="AE147" s="4">
        <v>18</v>
      </c>
      <c r="AF147" s="4">
        <v>4</v>
      </c>
      <c r="AG147" s="4">
        <v>4</v>
      </c>
      <c r="AH147" s="4">
        <v>8</v>
      </c>
      <c r="AI147" s="4">
        <v>8</v>
      </c>
      <c r="AJ147" s="4">
        <v>11</v>
      </c>
      <c r="AK147" s="4">
        <v>11</v>
      </c>
      <c r="AL147" s="4">
        <v>0</v>
      </c>
      <c r="AM147" s="4">
        <v>1</v>
      </c>
      <c r="AN147" s="4">
        <v>0</v>
      </c>
      <c r="AO147" s="4">
        <v>0</v>
      </c>
      <c r="AP147" s="3" t="s">
        <v>61</v>
      </c>
      <c r="AQ147" s="3" t="s">
        <v>61</v>
      </c>
      <c r="AS147" s="6" t="str">
        <f>HYPERLINK("https://creighton-primo.hosted.exlibrisgroup.com/primo-explore/search?tab=default_tab&amp;search_scope=EVERYTHING&amp;vid=01CRU&amp;lang=en_US&amp;offset=0&amp;query=any,contains,991005408999702656","Catalog Record")</f>
        <v>Catalog Record</v>
      </c>
      <c r="AT147" s="6" t="str">
        <f>HYPERLINK("http://www.worldcat.org/oclc/17549920","WorldCat Record")</f>
        <v>WorldCat Record</v>
      </c>
      <c r="AU147" s="3" t="s">
        <v>1775</v>
      </c>
      <c r="AV147" s="3" t="s">
        <v>1776</v>
      </c>
      <c r="AW147" s="3" t="s">
        <v>1777</v>
      </c>
      <c r="AX147" s="3" t="s">
        <v>1777</v>
      </c>
      <c r="AY147" s="3" t="s">
        <v>1778</v>
      </c>
      <c r="AZ147" s="3" t="s">
        <v>75</v>
      </c>
      <c r="BB147" s="3" t="s">
        <v>1779</v>
      </c>
      <c r="BC147" s="3" t="s">
        <v>1780</v>
      </c>
      <c r="BD147" s="3" t="s">
        <v>1781</v>
      </c>
    </row>
    <row r="148" spans="1:56" ht="44.25" customHeight="1" x14ac:dyDescent="0.25">
      <c r="A148" s="7" t="s">
        <v>61</v>
      </c>
      <c r="B148" s="2" t="s">
        <v>1782</v>
      </c>
      <c r="C148" s="2" t="s">
        <v>1783</v>
      </c>
      <c r="D148" s="2" t="s">
        <v>1784</v>
      </c>
      <c r="F148" s="3" t="s">
        <v>61</v>
      </c>
      <c r="G148" s="3" t="s">
        <v>60</v>
      </c>
      <c r="H148" s="3" t="s">
        <v>61</v>
      </c>
      <c r="I148" s="3" t="s">
        <v>61</v>
      </c>
      <c r="J148" s="3" t="s">
        <v>62</v>
      </c>
      <c r="K148" s="2" t="s">
        <v>1785</v>
      </c>
      <c r="L148" s="2" t="s">
        <v>1786</v>
      </c>
      <c r="M148" s="3" t="s">
        <v>1596</v>
      </c>
      <c r="O148" s="3" t="s">
        <v>114</v>
      </c>
      <c r="P148" s="3" t="s">
        <v>235</v>
      </c>
      <c r="R148" s="3" t="s">
        <v>68</v>
      </c>
      <c r="S148" s="4">
        <v>1</v>
      </c>
      <c r="T148" s="4">
        <v>1</v>
      </c>
      <c r="U148" s="5" t="s">
        <v>1787</v>
      </c>
      <c r="V148" s="5" t="s">
        <v>1787</v>
      </c>
      <c r="W148" s="5" t="s">
        <v>1761</v>
      </c>
      <c r="X148" s="5" t="s">
        <v>1761</v>
      </c>
      <c r="Y148" s="4">
        <v>539</v>
      </c>
      <c r="Z148" s="4">
        <v>477</v>
      </c>
      <c r="AA148" s="4">
        <v>483</v>
      </c>
      <c r="AB148" s="4">
        <v>5</v>
      </c>
      <c r="AC148" s="4">
        <v>5</v>
      </c>
      <c r="AD148" s="4">
        <v>20</v>
      </c>
      <c r="AE148" s="4">
        <v>20</v>
      </c>
      <c r="AF148" s="4">
        <v>5</v>
      </c>
      <c r="AG148" s="4">
        <v>5</v>
      </c>
      <c r="AH148" s="4">
        <v>6</v>
      </c>
      <c r="AI148" s="4">
        <v>6</v>
      </c>
      <c r="AJ148" s="4">
        <v>10</v>
      </c>
      <c r="AK148" s="4">
        <v>10</v>
      </c>
      <c r="AL148" s="4">
        <v>3</v>
      </c>
      <c r="AM148" s="4">
        <v>3</v>
      </c>
      <c r="AN148" s="4">
        <v>0</v>
      </c>
      <c r="AO148" s="4">
        <v>0</v>
      </c>
      <c r="AP148" s="3" t="s">
        <v>61</v>
      </c>
      <c r="AQ148" s="3" t="s">
        <v>61</v>
      </c>
      <c r="AS148" s="6" t="str">
        <f>HYPERLINK("https://creighton-primo.hosted.exlibrisgroup.com/primo-explore/search?tab=default_tab&amp;search_scope=EVERYTHING&amp;vid=01CRU&amp;lang=en_US&amp;offset=0&amp;query=any,contains,991004264389702656","Catalog Record")</f>
        <v>Catalog Record</v>
      </c>
      <c r="AT148" s="6" t="str">
        <f>HYPERLINK("http://www.worldcat.org/oclc/2859273","WorldCat Record")</f>
        <v>WorldCat Record</v>
      </c>
      <c r="AU148" s="3" t="s">
        <v>1788</v>
      </c>
      <c r="AV148" s="3" t="s">
        <v>1789</v>
      </c>
      <c r="AW148" s="3" t="s">
        <v>1790</v>
      </c>
      <c r="AX148" s="3" t="s">
        <v>1790</v>
      </c>
      <c r="AY148" s="3" t="s">
        <v>1791</v>
      </c>
      <c r="AZ148" s="3" t="s">
        <v>75</v>
      </c>
      <c r="BB148" s="3" t="s">
        <v>1792</v>
      </c>
      <c r="BC148" s="3" t="s">
        <v>1793</v>
      </c>
      <c r="BD148" s="3" t="s">
        <v>1794</v>
      </c>
    </row>
    <row r="149" spans="1:56" ht="44.25" customHeight="1" x14ac:dyDescent="0.25">
      <c r="A149" s="7" t="s">
        <v>61</v>
      </c>
      <c r="B149" s="2" t="s">
        <v>1795</v>
      </c>
      <c r="C149" s="2" t="s">
        <v>1796</v>
      </c>
      <c r="D149" s="2" t="s">
        <v>1797</v>
      </c>
      <c r="F149" s="3" t="s">
        <v>61</v>
      </c>
      <c r="G149" s="3" t="s">
        <v>60</v>
      </c>
      <c r="H149" s="3" t="s">
        <v>61</v>
      </c>
      <c r="I149" s="3" t="s">
        <v>61</v>
      </c>
      <c r="J149" s="3" t="s">
        <v>62</v>
      </c>
      <c r="L149" s="2" t="s">
        <v>1798</v>
      </c>
      <c r="M149" s="3" t="s">
        <v>579</v>
      </c>
      <c r="O149" s="3" t="s">
        <v>114</v>
      </c>
      <c r="P149" s="3" t="s">
        <v>1799</v>
      </c>
      <c r="R149" s="3" t="s">
        <v>68</v>
      </c>
      <c r="S149" s="4">
        <v>2</v>
      </c>
      <c r="T149" s="4">
        <v>2</v>
      </c>
      <c r="U149" s="5" t="s">
        <v>1800</v>
      </c>
      <c r="V149" s="5" t="s">
        <v>1800</v>
      </c>
      <c r="W149" s="5" t="s">
        <v>1801</v>
      </c>
      <c r="X149" s="5" t="s">
        <v>1801</v>
      </c>
      <c r="Y149" s="4">
        <v>437</v>
      </c>
      <c r="Z149" s="4">
        <v>390</v>
      </c>
      <c r="AA149" s="4">
        <v>407</v>
      </c>
      <c r="AB149" s="4">
        <v>2</v>
      </c>
      <c r="AC149" s="4">
        <v>2</v>
      </c>
      <c r="AD149" s="4">
        <v>14</v>
      </c>
      <c r="AE149" s="4">
        <v>14</v>
      </c>
      <c r="AF149" s="4">
        <v>5</v>
      </c>
      <c r="AG149" s="4">
        <v>5</v>
      </c>
      <c r="AH149" s="4">
        <v>3</v>
      </c>
      <c r="AI149" s="4">
        <v>3</v>
      </c>
      <c r="AJ149" s="4">
        <v>9</v>
      </c>
      <c r="AK149" s="4">
        <v>9</v>
      </c>
      <c r="AL149" s="4">
        <v>1</v>
      </c>
      <c r="AM149" s="4">
        <v>1</v>
      </c>
      <c r="AN149" s="4">
        <v>0</v>
      </c>
      <c r="AO149" s="4">
        <v>0</v>
      </c>
      <c r="AP149" s="3" t="s">
        <v>61</v>
      </c>
      <c r="AQ149" s="3" t="s">
        <v>59</v>
      </c>
      <c r="AR149" s="6" t="str">
        <f>HYPERLINK("http://catalog.hathitrust.org/Record/000431132","HathiTrust Record")</f>
        <v>HathiTrust Record</v>
      </c>
      <c r="AS149" s="6" t="str">
        <f>HYPERLINK("https://creighton-primo.hosted.exlibrisgroup.com/primo-explore/search?tab=default_tab&amp;search_scope=EVERYTHING&amp;vid=01CRU&amp;lang=en_US&amp;offset=0&amp;query=any,contains,991000670209702656","Catalog Record")</f>
        <v>Catalog Record</v>
      </c>
      <c r="AT149" s="6" t="str">
        <f>HYPERLINK("http://www.worldcat.org/oclc/12314157","WorldCat Record")</f>
        <v>WorldCat Record</v>
      </c>
      <c r="AU149" s="3" t="s">
        <v>1802</v>
      </c>
      <c r="AV149" s="3" t="s">
        <v>1803</v>
      </c>
      <c r="AW149" s="3" t="s">
        <v>1804</v>
      </c>
      <c r="AX149" s="3" t="s">
        <v>1804</v>
      </c>
      <c r="AY149" s="3" t="s">
        <v>1805</v>
      </c>
      <c r="AZ149" s="3" t="s">
        <v>75</v>
      </c>
      <c r="BB149" s="3" t="s">
        <v>1806</v>
      </c>
      <c r="BC149" s="3" t="s">
        <v>1807</v>
      </c>
      <c r="BD149" s="3" t="s">
        <v>1808</v>
      </c>
    </row>
    <row r="150" spans="1:56" ht="44.25" customHeight="1" x14ac:dyDescent="0.25">
      <c r="A150" s="7" t="s">
        <v>61</v>
      </c>
      <c r="B150" s="2" t="s">
        <v>1809</v>
      </c>
      <c r="C150" s="2" t="s">
        <v>1810</v>
      </c>
      <c r="D150" s="2" t="s">
        <v>1811</v>
      </c>
      <c r="F150" s="3" t="s">
        <v>61</v>
      </c>
      <c r="G150" s="3" t="s">
        <v>60</v>
      </c>
      <c r="H150" s="3" t="s">
        <v>61</v>
      </c>
      <c r="I150" s="3" t="s">
        <v>61</v>
      </c>
      <c r="J150" s="3" t="s">
        <v>62</v>
      </c>
      <c r="K150" s="2" t="s">
        <v>1812</v>
      </c>
      <c r="L150" s="2" t="s">
        <v>1813</v>
      </c>
      <c r="M150" s="3" t="s">
        <v>291</v>
      </c>
      <c r="N150" s="2" t="s">
        <v>1814</v>
      </c>
      <c r="O150" s="3" t="s">
        <v>114</v>
      </c>
      <c r="P150" s="3" t="s">
        <v>364</v>
      </c>
      <c r="Q150" s="2" t="s">
        <v>1815</v>
      </c>
      <c r="R150" s="3" t="s">
        <v>68</v>
      </c>
      <c r="S150" s="4">
        <v>3</v>
      </c>
      <c r="T150" s="4">
        <v>3</v>
      </c>
      <c r="U150" s="5" t="s">
        <v>1816</v>
      </c>
      <c r="V150" s="5" t="s">
        <v>1816</v>
      </c>
      <c r="W150" s="5" t="s">
        <v>1817</v>
      </c>
      <c r="X150" s="5" t="s">
        <v>1817</v>
      </c>
      <c r="Y150" s="4">
        <v>436</v>
      </c>
      <c r="Z150" s="4">
        <v>353</v>
      </c>
      <c r="AA150" s="4">
        <v>791</v>
      </c>
      <c r="AB150" s="4">
        <v>3</v>
      </c>
      <c r="AC150" s="4">
        <v>8</v>
      </c>
      <c r="AD150" s="4">
        <v>17</v>
      </c>
      <c r="AE150" s="4">
        <v>38</v>
      </c>
      <c r="AF150" s="4">
        <v>6</v>
      </c>
      <c r="AG150" s="4">
        <v>14</v>
      </c>
      <c r="AH150" s="4">
        <v>3</v>
      </c>
      <c r="AI150" s="4">
        <v>8</v>
      </c>
      <c r="AJ150" s="4">
        <v>11</v>
      </c>
      <c r="AK150" s="4">
        <v>19</v>
      </c>
      <c r="AL150" s="4">
        <v>2</v>
      </c>
      <c r="AM150" s="4">
        <v>6</v>
      </c>
      <c r="AN150" s="4">
        <v>0</v>
      </c>
      <c r="AO150" s="4">
        <v>0</v>
      </c>
      <c r="AP150" s="3" t="s">
        <v>61</v>
      </c>
      <c r="AQ150" s="3" t="s">
        <v>59</v>
      </c>
      <c r="AR150" s="6" t="str">
        <f>HYPERLINK("http://catalog.hathitrust.org/Record/000699195","HathiTrust Record")</f>
        <v>HathiTrust Record</v>
      </c>
      <c r="AS150" s="6" t="str">
        <f>HYPERLINK("https://creighton-primo.hosted.exlibrisgroup.com/primo-explore/search?tab=default_tab&amp;search_scope=EVERYTHING&amp;vid=01CRU&amp;lang=en_US&amp;offset=0&amp;query=any,contains,991004977059702656","Catalog Record")</f>
        <v>Catalog Record</v>
      </c>
      <c r="AT150" s="6" t="str">
        <f>HYPERLINK("http://www.worldcat.org/oclc/6400352","WorldCat Record")</f>
        <v>WorldCat Record</v>
      </c>
      <c r="AU150" s="3" t="s">
        <v>1818</v>
      </c>
      <c r="AV150" s="3" t="s">
        <v>1819</v>
      </c>
      <c r="AW150" s="3" t="s">
        <v>1820</v>
      </c>
      <c r="AX150" s="3" t="s">
        <v>1820</v>
      </c>
      <c r="AY150" s="3" t="s">
        <v>1821</v>
      </c>
      <c r="AZ150" s="3" t="s">
        <v>75</v>
      </c>
      <c r="BB150" s="3" t="s">
        <v>1822</v>
      </c>
      <c r="BC150" s="3" t="s">
        <v>1823</v>
      </c>
      <c r="BD150" s="3" t="s">
        <v>1824</v>
      </c>
    </row>
    <row r="151" spans="1:56" ht="44.25" customHeight="1" x14ac:dyDescent="0.25">
      <c r="A151" s="7" t="s">
        <v>61</v>
      </c>
      <c r="B151" s="2" t="s">
        <v>1825</v>
      </c>
      <c r="C151" s="2" t="s">
        <v>1826</v>
      </c>
      <c r="D151" s="2" t="s">
        <v>1827</v>
      </c>
      <c r="F151" s="3" t="s">
        <v>61</v>
      </c>
      <c r="G151" s="3" t="s">
        <v>60</v>
      </c>
      <c r="H151" s="3" t="s">
        <v>61</v>
      </c>
      <c r="I151" s="3" t="s">
        <v>61</v>
      </c>
      <c r="J151" s="3" t="s">
        <v>62</v>
      </c>
      <c r="K151" s="2" t="s">
        <v>1828</v>
      </c>
      <c r="L151" s="2" t="s">
        <v>1829</v>
      </c>
      <c r="M151" s="3" t="s">
        <v>436</v>
      </c>
      <c r="O151" s="3" t="s">
        <v>114</v>
      </c>
      <c r="P151" s="3" t="s">
        <v>649</v>
      </c>
      <c r="R151" s="3" t="s">
        <v>68</v>
      </c>
      <c r="S151" s="4">
        <v>4</v>
      </c>
      <c r="T151" s="4">
        <v>4</v>
      </c>
      <c r="U151" s="5" t="s">
        <v>1830</v>
      </c>
      <c r="V151" s="5" t="s">
        <v>1830</v>
      </c>
      <c r="W151" s="5" t="s">
        <v>1831</v>
      </c>
      <c r="X151" s="5" t="s">
        <v>1831</v>
      </c>
      <c r="Y151" s="4">
        <v>402</v>
      </c>
      <c r="Z151" s="4">
        <v>307</v>
      </c>
      <c r="AA151" s="4">
        <v>486</v>
      </c>
      <c r="AB151" s="4">
        <v>4</v>
      </c>
      <c r="AC151" s="4">
        <v>4</v>
      </c>
      <c r="AD151" s="4">
        <v>20</v>
      </c>
      <c r="AE151" s="4">
        <v>27</v>
      </c>
      <c r="AF151" s="4">
        <v>4</v>
      </c>
      <c r="AG151" s="4">
        <v>10</v>
      </c>
      <c r="AH151" s="4">
        <v>5</v>
      </c>
      <c r="AI151" s="4">
        <v>7</v>
      </c>
      <c r="AJ151" s="4">
        <v>12</v>
      </c>
      <c r="AK151" s="4">
        <v>14</v>
      </c>
      <c r="AL151" s="4">
        <v>3</v>
      </c>
      <c r="AM151" s="4">
        <v>3</v>
      </c>
      <c r="AN151" s="4">
        <v>0</v>
      </c>
      <c r="AO151" s="4">
        <v>0</v>
      </c>
      <c r="AP151" s="3" t="s">
        <v>61</v>
      </c>
      <c r="AQ151" s="3" t="s">
        <v>61</v>
      </c>
      <c r="AS151" s="6" t="str">
        <f>HYPERLINK("https://creighton-primo.hosted.exlibrisgroup.com/primo-explore/search?tab=default_tab&amp;search_scope=EVERYTHING&amp;vid=01CRU&amp;lang=en_US&amp;offset=0&amp;query=any,contains,991001733219702656","Catalog Record")</f>
        <v>Catalog Record</v>
      </c>
      <c r="AT151" s="6" t="str">
        <f>HYPERLINK("http://www.worldcat.org/oclc/21949764","WorldCat Record")</f>
        <v>WorldCat Record</v>
      </c>
      <c r="AU151" s="3" t="s">
        <v>1832</v>
      </c>
      <c r="AV151" s="3" t="s">
        <v>1833</v>
      </c>
      <c r="AW151" s="3" t="s">
        <v>1834</v>
      </c>
      <c r="AX151" s="3" t="s">
        <v>1834</v>
      </c>
      <c r="AY151" s="3" t="s">
        <v>1835</v>
      </c>
      <c r="AZ151" s="3" t="s">
        <v>75</v>
      </c>
      <c r="BB151" s="3" t="s">
        <v>1836</v>
      </c>
      <c r="BC151" s="3" t="s">
        <v>1837</v>
      </c>
      <c r="BD151" s="3" t="s">
        <v>1838</v>
      </c>
    </row>
    <row r="152" spans="1:56" ht="44.25" customHeight="1" x14ac:dyDescent="0.25">
      <c r="A152" s="7" t="s">
        <v>61</v>
      </c>
      <c r="B152" s="2" t="s">
        <v>1839</v>
      </c>
      <c r="C152" s="2" t="s">
        <v>1840</v>
      </c>
      <c r="D152" s="2" t="s">
        <v>1841</v>
      </c>
      <c r="F152" s="3" t="s">
        <v>61</v>
      </c>
      <c r="G152" s="3" t="s">
        <v>60</v>
      </c>
      <c r="H152" s="3" t="s">
        <v>61</v>
      </c>
      <c r="I152" s="3" t="s">
        <v>61</v>
      </c>
      <c r="J152" s="3" t="s">
        <v>62</v>
      </c>
      <c r="K152" s="2" t="s">
        <v>1842</v>
      </c>
      <c r="L152" s="2" t="s">
        <v>1843</v>
      </c>
      <c r="M152" s="3" t="s">
        <v>263</v>
      </c>
      <c r="O152" s="3" t="s">
        <v>114</v>
      </c>
      <c r="P152" s="3" t="s">
        <v>192</v>
      </c>
      <c r="R152" s="3" t="s">
        <v>68</v>
      </c>
      <c r="S152" s="4">
        <v>8</v>
      </c>
      <c r="T152" s="4">
        <v>8</v>
      </c>
      <c r="U152" s="5" t="s">
        <v>1760</v>
      </c>
      <c r="V152" s="5" t="s">
        <v>1760</v>
      </c>
      <c r="W152" s="5" t="s">
        <v>1844</v>
      </c>
      <c r="X152" s="5" t="s">
        <v>1844</v>
      </c>
      <c r="Y152" s="4">
        <v>691</v>
      </c>
      <c r="Z152" s="4">
        <v>505</v>
      </c>
      <c r="AA152" s="4">
        <v>506</v>
      </c>
      <c r="AB152" s="4">
        <v>4</v>
      </c>
      <c r="AC152" s="4">
        <v>4</v>
      </c>
      <c r="AD152" s="4">
        <v>20</v>
      </c>
      <c r="AE152" s="4">
        <v>20</v>
      </c>
      <c r="AF152" s="4">
        <v>7</v>
      </c>
      <c r="AG152" s="4">
        <v>7</v>
      </c>
      <c r="AH152" s="4">
        <v>5</v>
      </c>
      <c r="AI152" s="4">
        <v>5</v>
      </c>
      <c r="AJ152" s="4">
        <v>9</v>
      </c>
      <c r="AK152" s="4">
        <v>9</v>
      </c>
      <c r="AL152" s="4">
        <v>3</v>
      </c>
      <c r="AM152" s="4">
        <v>3</v>
      </c>
      <c r="AN152" s="4">
        <v>0</v>
      </c>
      <c r="AO152" s="4">
        <v>0</v>
      </c>
      <c r="AP152" s="3" t="s">
        <v>61</v>
      </c>
      <c r="AQ152" s="3" t="s">
        <v>59</v>
      </c>
      <c r="AR152" s="6" t="str">
        <f>HYPERLINK("http://catalog.hathitrust.org/Record/000191569","HathiTrust Record")</f>
        <v>HathiTrust Record</v>
      </c>
      <c r="AS152" s="6" t="str">
        <f>HYPERLINK("https://creighton-primo.hosted.exlibrisgroup.com/primo-explore/search?tab=default_tab&amp;search_scope=EVERYTHING&amp;vid=01CRU&amp;lang=en_US&amp;offset=0&amp;query=any,contains,991005216309702656","Catalog Record")</f>
        <v>Catalog Record</v>
      </c>
      <c r="AT152" s="6" t="str">
        <f>HYPERLINK("http://www.worldcat.org/oclc/8194796","WorldCat Record")</f>
        <v>WorldCat Record</v>
      </c>
      <c r="AU152" s="3" t="s">
        <v>1845</v>
      </c>
      <c r="AV152" s="3" t="s">
        <v>1846</v>
      </c>
      <c r="AW152" s="3" t="s">
        <v>1847</v>
      </c>
      <c r="AX152" s="3" t="s">
        <v>1847</v>
      </c>
      <c r="AY152" s="3" t="s">
        <v>1848</v>
      </c>
      <c r="AZ152" s="3" t="s">
        <v>75</v>
      </c>
      <c r="BB152" s="3" t="s">
        <v>1849</v>
      </c>
      <c r="BC152" s="3" t="s">
        <v>1850</v>
      </c>
      <c r="BD152" s="3" t="s">
        <v>1851</v>
      </c>
    </row>
    <row r="153" spans="1:56" ht="44.25" customHeight="1" x14ac:dyDescent="0.25">
      <c r="A153" s="7" t="s">
        <v>61</v>
      </c>
      <c r="B153" s="2" t="s">
        <v>1852</v>
      </c>
      <c r="C153" s="2" t="s">
        <v>1853</v>
      </c>
      <c r="D153" s="2" t="s">
        <v>1854</v>
      </c>
      <c r="F153" s="3" t="s">
        <v>61</v>
      </c>
      <c r="G153" s="3" t="s">
        <v>60</v>
      </c>
      <c r="H153" s="3" t="s">
        <v>61</v>
      </c>
      <c r="I153" s="3" t="s">
        <v>61</v>
      </c>
      <c r="J153" s="3" t="s">
        <v>62</v>
      </c>
      <c r="K153" s="2" t="s">
        <v>1855</v>
      </c>
      <c r="L153" s="2" t="s">
        <v>1856</v>
      </c>
      <c r="M153" s="3" t="s">
        <v>350</v>
      </c>
      <c r="O153" s="3" t="s">
        <v>114</v>
      </c>
      <c r="P153" s="3" t="s">
        <v>206</v>
      </c>
      <c r="R153" s="3" t="s">
        <v>68</v>
      </c>
      <c r="S153" s="4">
        <v>6</v>
      </c>
      <c r="T153" s="4">
        <v>6</v>
      </c>
      <c r="U153" s="5" t="s">
        <v>1857</v>
      </c>
      <c r="V153" s="5" t="s">
        <v>1857</v>
      </c>
      <c r="W153" s="5" t="s">
        <v>1858</v>
      </c>
      <c r="X153" s="5" t="s">
        <v>1858</v>
      </c>
      <c r="Y153" s="4">
        <v>1372</v>
      </c>
      <c r="Z153" s="4">
        <v>1264</v>
      </c>
      <c r="AA153" s="4">
        <v>1288</v>
      </c>
      <c r="AB153" s="4">
        <v>8</v>
      </c>
      <c r="AC153" s="4">
        <v>8</v>
      </c>
      <c r="AD153" s="4">
        <v>46</v>
      </c>
      <c r="AE153" s="4">
        <v>47</v>
      </c>
      <c r="AF153" s="4">
        <v>21</v>
      </c>
      <c r="AG153" s="4">
        <v>21</v>
      </c>
      <c r="AH153" s="4">
        <v>10</v>
      </c>
      <c r="AI153" s="4">
        <v>10</v>
      </c>
      <c r="AJ153" s="4">
        <v>22</v>
      </c>
      <c r="AK153" s="4">
        <v>22</v>
      </c>
      <c r="AL153" s="4">
        <v>6</v>
      </c>
      <c r="AM153" s="4">
        <v>6</v>
      </c>
      <c r="AN153" s="4">
        <v>0</v>
      </c>
      <c r="AO153" s="4">
        <v>1</v>
      </c>
      <c r="AP153" s="3" t="s">
        <v>61</v>
      </c>
      <c r="AQ153" s="3" t="s">
        <v>59</v>
      </c>
      <c r="AR153" s="6" t="str">
        <f>HYPERLINK("http://catalog.hathitrust.org/Record/000762144","HathiTrust Record")</f>
        <v>HathiTrust Record</v>
      </c>
      <c r="AS153" s="6" t="str">
        <f>HYPERLINK("https://creighton-primo.hosted.exlibrisgroup.com/primo-explore/search?tab=default_tab&amp;search_scope=EVERYTHING&amp;vid=01CRU&amp;lang=en_US&amp;offset=0&amp;query=any,contains,991004660649702656","Catalog Record")</f>
        <v>Catalog Record</v>
      </c>
      <c r="AT153" s="6" t="str">
        <f>HYPERLINK("http://www.worldcat.org/oclc/4496667","WorldCat Record")</f>
        <v>WorldCat Record</v>
      </c>
      <c r="AU153" s="3" t="s">
        <v>1859</v>
      </c>
      <c r="AV153" s="3" t="s">
        <v>1860</v>
      </c>
      <c r="AW153" s="3" t="s">
        <v>1861</v>
      </c>
      <c r="AX153" s="3" t="s">
        <v>1861</v>
      </c>
      <c r="AY153" s="3" t="s">
        <v>1862</v>
      </c>
      <c r="AZ153" s="3" t="s">
        <v>75</v>
      </c>
      <c r="BB153" s="3" t="s">
        <v>1863</v>
      </c>
      <c r="BC153" s="3" t="s">
        <v>1864</v>
      </c>
      <c r="BD153" s="3" t="s">
        <v>1865</v>
      </c>
    </row>
    <row r="154" spans="1:56" ht="44.25" customHeight="1" x14ac:dyDescent="0.25">
      <c r="A154" s="7" t="s">
        <v>61</v>
      </c>
      <c r="B154" s="2" t="s">
        <v>1866</v>
      </c>
      <c r="C154" s="2" t="s">
        <v>1867</v>
      </c>
      <c r="D154" s="2" t="s">
        <v>1868</v>
      </c>
      <c r="F154" s="3" t="s">
        <v>61</v>
      </c>
      <c r="G154" s="3" t="s">
        <v>60</v>
      </c>
      <c r="H154" s="3" t="s">
        <v>61</v>
      </c>
      <c r="I154" s="3" t="s">
        <v>61</v>
      </c>
      <c r="J154" s="3" t="s">
        <v>62</v>
      </c>
      <c r="L154" s="2" t="s">
        <v>1869</v>
      </c>
      <c r="M154" s="3" t="s">
        <v>1870</v>
      </c>
      <c r="O154" s="3" t="s">
        <v>114</v>
      </c>
      <c r="P154" s="3" t="s">
        <v>1114</v>
      </c>
      <c r="Q154" s="2" t="s">
        <v>1871</v>
      </c>
      <c r="R154" s="3" t="s">
        <v>68</v>
      </c>
      <c r="S154" s="4">
        <v>6</v>
      </c>
      <c r="T154" s="4">
        <v>6</v>
      </c>
      <c r="U154" s="5" t="s">
        <v>1857</v>
      </c>
      <c r="V154" s="5" t="s">
        <v>1857</v>
      </c>
      <c r="W154" s="5" t="s">
        <v>1816</v>
      </c>
      <c r="X154" s="5" t="s">
        <v>1816</v>
      </c>
      <c r="Y154" s="4">
        <v>517</v>
      </c>
      <c r="Z154" s="4">
        <v>431</v>
      </c>
      <c r="AA154" s="4">
        <v>463</v>
      </c>
      <c r="AB154" s="4">
        <v>3</v>
      </c>
      <c r="AC154" s="4">
        <v>3</v>
      </c>
      <c r="AD154" s="4">
        <v>19</v>
      </c>
      <c r="AE154" s="4">
        <v>19</v>
      </c>
      <c r="AF154" s="4">
        <v>7</v>
      </c>
      <c r="AG154" s="4">
        <v>7</v>
      </c>
      <c r="AH154" s="4">
        <v>6</v>
      </c>
      <c r="AI154" s="4">
        <v>6</v>
      </c>
      <c r="AJ154" s="4">
        <v>9</v>
      </c>
      <c r="AK154" s="4">
        <v>9</v>
      </c>
      <c r="AL154" s="4">
        <v>2</v>
      </c>
      <c r="AM154" s="4">
        <v>2</v>
      </c>
      <c r="AN154" s="4">
        <v>0</v>
      </c>
      <c r="AO154" s="4">
        <v>0</v>
      </c>
      <c r="AP154" s="3" t="s">
        <v>61</v>
      </c>
      <c r="AQ154" s="3" t="s">
        <v>59</v>
      </c>
      <c r="AR154" s="6" t="str">
        <f>HYPERLINK("http://catalog.hathitrust.org/Record/002898684","HathiTrust Record")</f>
        <v>HathiTrust Record</v>
      </c>
      <c r="AS154" s="6" t="str">
        <f>HYPERLINK("https://creighton-primo.hosted.exlibrisgroup.com/primo-explore/search?tab=default_tab&amp;search_scope=EVERYTHING&amp;vid=01CRU&amp;lang=en_US&amp;offset=0&amp;query=any,contains,991002320919702656","Catalog Record")</f>
        <v>Catalog Record</v>
      </c>
      <c r="AT154" s="6" t="str">
        <f>HYPERLINK("http://www.worldcat.org/oclc/30109725","WorldCat Record")</f>
        <v>WorldCat Record</v>
      </c>
      <c r="AU154" s="3" t="s">
        <v>1872</v>
      </c>
      <c r="AV154" s="3" t="s">
        <v>1873</v>
      </c>
      <c r="AW154" s="3" t="s">
        <v>1874</v>
      </c>
      <c r="AX154" s="3" t="s">
        <v>1874</v>
      </c>
      <c r="AY154" s="3" t="s">
        <v>1875</v>
      </c>
      <c r="AZ154" s="3" t="s">
        <v>75</v>
      </c>
      <c r="BB154" s="3" t="s">
        <v>1876</v>
      </c>
      <c r="BC154" s="3" t="s">
        <v>1877</v>
      </c>
      <c r="BD154" s="3" t="s">
        <v>1878</v>
      </c>
    </row>
    <row r="155" spans="1:56" ht="44.25" customHeight="1" x14ac:dyDescent="0.25">
      <c r="A155" s="7" t="s">
        <v>61</v>
      </c>
      <c r="B155" s="2" t="s">
        <v>1879</v>
      </c>
      <c r="C155" s="2" t="s">
        <v>1880</v>
      </c>
      <c r="D155" s="2" t="s">
        <v>1881</v>
      </c>
      <c r="F155" s="3" t="s">
        <v>61</v>
      </c>
      <c r="G155" s="3" t="s">
        <v>60</v>
      </c>
      <c r="H155" s="3" t="s">
        <v>61</v>
      </c>
      <c r="I155" s="3" t="s">
        <v>61</v>
      </c>
      <c r="J155" s="3" t="s">
        <v>62</v>
      </c>
      <c r="K155" s="2" t="s">
        <v>1882</v>
      </c>
      <c r="L155" s="2" t="s">
        <v>1883</v>
      </c>
      <c r="M155" s="3" t="s">
        <v>220</v>
      </c>
      <c r="O155" s="3" t="s">
        <v>114</v>
      </c>
      <c r="P155" s="3" t="s">
        <v>437</v>
      </c>
      <c r="Q155" s="2" t="s">
        <v>1884</v>
      </c>
      <c r="R155" s="3" t="s">
        <v>68</v>
      </c>
      <c r="S155" s="4">
        <v>2</v>
      </c>
      <c r="T155" s="4">
        <v>2</v>
      </c>
      <c r="U155" s="5" t="s">
        <v>1885</v>
      </c>
      <c r="V155" s="5" t="s">
        <v>1885</v>
      </c>
      <c r="W155" s="5" t="s">
        <v>1885</v>
      </c>
      <c r="X155" s="5" t="s">
        <v>1885</v>
      </c>
      <c r="Y155" s="4">
        <v>388</v>
      </c>
      <c r="Z155" s="4">
        <v>249</v>
      </c>
      <c r="AA155" s="4">
        <v>249</v>
      </c>
      <c r="AB155" s="4">
        <v>1</v>
      </c>
      <c r="AC155" s="4">
        <v>1</v>
      </c>
      <c r="AD155" s="4">
        <v>14</v>
      </c>
      <c r="AE155" s="4">
        <v>14</v>
      </c>
      <c r="AF155" s="4">
        <v>6</v>
      </c>
      <c r="AG155" s="4">
        <v>6</v>
      </c>
      <c r="AH155" s="4">
        <v>5</v>
      </c>
      <c r="AI155" s="4">
        <v>5</v>
      </c>
      <c r="AJ155" s="4">
        <v>8</v>
      </c>
      <c r="AK155" s="4">
        <v>8</v>
      </c>
      <c r="AL155" s="4">
        <v>0</v>
      </c>
      <c r="AM155" s="4">
        <v>0</v>
      </c>
      <c r="AN155" s="4">
        <v>0</v>
      </c>
      <c r="AO155" s="4">
        <v>0</v>
      </c>
      <c r="AP155" s="3" t="s">
        <v>61</v>
      </c>
      <c r="AQ155" s="3" t="s">
        <v>61</v>
      </c>
      <c r="AS155" s="6" t="str">
        <f>HYPERLINK("https://creighton-primo.hosted.exlibrisgroup.com/primo-explore/search?tab=default_tab&amp;search_scope=EVERYTHING&amp;vid=01CRU&amp;lang=en_US&amp;offset=0&amp;query=any,contains,991004246859702656","Catalog Record")</f>
        <v>Catalog Record</v>
      </c>
      <c r="AT155" s="6" t="str">
        <f>HYPERLINK("http://www.worldcat.org/oclc/48951684","WorldCat Record")</f>
        <v>WorldCat Record</v>
      </c>
      <c r="AU155" s="3" t="s">
        <v>1886</v>
      </c>
      <c r="AV155" s="3" t="s">
        <v>1887</v>
      </c>
      <c r="AW155" s="3" t="s">
        <v>1888</v>
      </c>
      <c r="AX155" s="3" t="s">
        <v>1888</v>
      </c>
      <c r="AY155" s="3" t="s">
        <v>1889</v>
      </c>
      <c r="AZ155" s="3" t="s">
        <v>75</v>
      </c>
      <c r="BB155" s="3" t="s">
        <v>1890</v>
      </c>
      <c r="BC155" s="3" t="s">
        <v>1891</v>
      </c>
      <c r="BD155" s="3" t="s">
        <v>1892</v>
      </c>
    </row>
    <row r="156" spans="1:56" ht="44.25" customHeight="1" x14ac:dyDescent="0.25">
      <c r="A156" s="7" t="s">
        <v>61</v>
      </c>
      <c r="B156" s="2" t="s">
        <v>1893</v>
      </c>
      <c r="C156" s="2" t="s">
        <v>1894</v>
      </c>
      <c r="D156" s="2" t="s">
        <v>1895</v>
      </c>
      <c r="F156" s="3" t="s">
        <v>61</v>
      </c>
      <c r="G156" s="3" t="s">
        <v>60</v>
      </c>
      <c r="H156" s="3" t="s">
        <v>61</v>
      </c>
      <c r="I156" s="3" t="s">
        <v>61</v>
      </c>
      <c r="J156" s="3" t="s">
        <v>62</v>
      </c>
      <c r="K156" s="2" t="s">
        <v>1896</v>
      </c>
      <c r="L156" s="2" t="s">
        <v>1897</v>
      </c>
      <c r="M156" s="3" t="s">
        <v>263</v>
      </c>
      <c r="O156" s="3" t="s">
        <v>114</v>
      </c>
      <c r="P156" s="3" t="s">
        <v>235</v>
      </c>
      <c r="R156" s="3" t="s">
        <v>68</v>
      </c>
      <c r="S156" s="4">
        <v>2</v>
      </c>
      <c r="T156" s="4">
        <v>2</v>
      </c>
      <c r="U156" s="5" t="s">
        <v>1320</v>
      </c>
      <c r="V156" s="5" t="s">
        <v>1320</v>
      </c>
      <c r="W156" s="5" t="s">
        <v>366</v>
      </c>
      <c r="X156" s="5" t="s">
        <v>366</v>
      </c>
      <c r="Y156" s="4">
        <v>392</v>
      </c>
      <c r="Z156" s="4">
        <v>324</v>
      </c>
      <c r="AA156" s="4">
        <v>328</v>
      </c>
      <c r="AB156" s="4">
        <v>3</v>
      </c>
      <c r="AC156" s="4">
        <v>3</v>
      </c>
      <c r="AD156" s="4">
        <v>13</v>
      </c>
      <c r="AE156" s="4">
        <v>13</v>
      </c>
      <c r="AF156" s="4">
        <v>4</v>
      </c>
      <c r="AG156" s="4">
        <v>4</v>
      </c>
      <c r="AH156" s="4">
        <v>5</v>
      </c>
      <c r="AI156" s="4">
        <v>5</v>
      </c>
      <c r="AJ156" s="4">
        <v>9</v>
      </c>
      <c r="AK156" s="4">
        <v>9</v>
      </c>
      <c r="AL156" s="4">
        <v>1</v>
      </c>
      <c r="AM156" s="4">
        <v>1</v>
      </c>
      <c r="AN156" s="4">
        <v>0</v>
      </c>
      <c r="AO156" s="4">
        <v>0</v>
      </c>
      <c r="AP156" s="3" t="s">
        <v>61</v>
      </c>
      <c r="AQ156" s="3" t="s">
        <v>59</v>
      </c>
      <c r="AR156" s="6" t="str">
        <f>HYPERLINK("http://catalog.hathitrust.org/Record/000761004","HathiTrust Record")</f>
        <v>HathiTrust Record</v>
      </c>
      <c r="AS156" s="6" t="str">
        <f>HYPERLINK("https://creighton-primo.hosted.exlibrisgroup.com/primo-explore/search?tab=default_tab&amp;search_scope=EVERYTHING&amp;vid=01CRU&amp;lang=en_US&amp;offset=0&amp;query=any,contains,991005192359702656","Catalog Record")</f>
        <v>Catalog Record</v>
      </c>
      <c r="AT156" s="6" t="str">
        <f>HYPERLINK("http://www.worldcat.org/oclc/8018969","WorldCat Record")</f>
        <v>WorldCat Record</v>
      </c>
      <c r="AU156" s="3" t="s">
        <v>1898</v>
      </c>
      <c r="AV156" s="3" t="s">
        <v>1899</v>
      </c>
      <c r="AW156" s="3" t="s">
        <v>1900</v>
      </c>
      <c r="AX156" s="3" t="s">
        <v>1900</v>
      </c>
      <c r="AY156" s="3" t="s">
        <v>1901</v>
      </c>
      <c r="AZ156" s="3" t="s">
        <v>75</v>
      </c>
      <c r="BB156" s="3" t="s">
        <v>1902</v>
      </c>
      <c r="BC156" s="3" t="s">
        <v>1903</v>
      </c>
      <c r="BD156" s="3" t="s">
        <v>1904</v>
      </c>
    </row>
    <row r="157" spans="1:56" ht="44.25" customHeight="1" x14ac:dyDescent="0.25">
      <c r="A157" s="7" t="s">
        <v>61</v>
      </c>
      <c r="B157" s="2" t="s">
        <v>1905</v>
      </c>
      <c r="C157" s="2" t="s">
        <v>1906</v>
      </c>
      <c r="D157" s="2" t="s">
        <v>1907</v>
      </c>
      <c r="F157" s="3" t="s">
        <v>61</v>
      </c>
      <c r="G157" s="3" t="s">
        <v>60</v>
      </c>
      <c r="H157" s="3" t="s">
        <v>61</v>
      </c>
      <c r="I157" s="3" t="s">
        <v>61</v>
      </c>
      <c r="J157" s="3" t="s">
        <v>62</v>
      </c>
      <c r="K157" s="2" t="s">
        <v>1908</v>
      </c>
      <c r="L157" s="2" t="s">
        <v>1909</v>
      </c>
      <c r="M157" s="3" t="s">
        <v>263</v>
      </c>
      <c r="N157" s="2" t="s">
        <v>634</v>
      </c>
      <c r="O157" s="3" t="s">
        <v>114</v>
      </c>
      <c r="P157" s="3" t="s">
        <v>235</v>
      </c>
      <c r="R157" s="3" t="s">
        <v>68</v>
      </c>
      <c r="S157" s="4">
        <v>2</v>
      </c>
      <c r="T157" s="4">
        <v>2</v>
      </c>
      <c r="U157" s="5" t="s">
        <v>1320</v>
      </c>
      <c r="V157" s="5" t="s">
        <v>1320</v>
      </c>
      <c r="W157" s="5" t="s">
        <v>366</v>
      </c>
      <c r="X157" s="5" t="s">
        <v>366</v>
      </c>
      <c r="Y157" s="4">
        <v>757</v>
      </c>
      <c r="Z157" s="4">
        <v>691</v>
      </c>
      <c r="AA157" s="4">
        <v>860</v>
      </c>
      <c r="AB157" s="4">
        <v>7</v>
      </c>
      <c r="AC157" s="4">
        <v>7</v>
      </c>
      <c r="AD157" s="4">
        <v>26</v>
      </c>
      <c r="AE157" s="4">
        <v>31</v>
      </c>
      <c r="AF157" s="4">
        <v>10</v>
      </c>
      <c r="AG157" s="4">
        <v>12</v>
      </c>
      <c r="AH157" s="4">
        <v>6</v>
      </c>
      <c r="AI157" s="4">
        <v>9</v>
      </c>
      <c r="AJ157" s="4">
        <v>9</v>
      </c>
      <c r="AK157" s="4">
        <v>14</v>
      </c>
      <c r="AL157" s="4">
        <v>5</v>
      </c>
      <c r="AM157" s="4">
        <v>5</v>
      </c>
      <c r="AN157" s="4">
        <v>0</v>
      </c>
      <c r="AO157" s="4">
        <v>0</v>
      </c>
      <c r="AP157" s="3" t="s">
        <v>61</v>
      </c>
      <c r="AQ157" s="3" t="s">
        <v>61</v>
      </c>
      <c r="AS157" s="6" t="str">
        <f>HYPERLINK("https://creighton-primo.hosted.exlibrisgroup.com/primo-explore/search?tab=default_tab&amp;search_scope=EVERYTHING&amp;vid=01CRU&amp;lang=en_US&amp;offset=0&amp;query=any,contains,991000027459702656","Catalog Record")</f>
        <v>Catalog Record</v>
      </c>
      <c r="AT157" s="6" t="str">
        <f>HYPERLINK("http://www.worldcat.org/oclc/8590264","WorldCat Record")</f>
        <v>WorldCat Record</v>
      </c>
      <c r="AU157" s="3" t="s">
        <v>1910</v>
      </c>
      <c r="AV157" s="3" t="s">
        <v>1911</v>
      </c>
      <c r="AW157" s="3" t="s">
        <v>1912</v>
      </c>
      <c r="AX157" s="3" t="s">
        <v>1912</v>
      </c>
      <c r="AY157" s="3" t="s">
        <v>1913</v>
      </c>
      <c r="AZ157" s="3" t="s">
        <v>75</v>
      </c>
      <c r="BB157" s="3" t="s">
        <v>1914</v>
      </c>
      <c r="BC157" s="3" t="s">
        <v>1915</v>
      </c>
      <c r="BD157" s="3" t="s">
        <v>1916</v>
      </c>
    </row>
    <row r="158" spans="1:56" ht="44.25" customHeight="1" x14ac:dyDescent="0.25">
      <c r="A158" s="7" t="s">
        <v>61</v>
      </c>
      <c r="B158" s="2" t="s">
        <v>1917</v>
      </c>
      <c r="C158" s="2" t="s">
        <v>1918</v>
      </c>
      <c r="D158" s="2" t="s">
        <v>1919</v>
      </c>
      <c r="F158" s="3" t="s">
        <v>61</v>
      </c>
      <c r="G158" s="3" t="s">
        <v>60</v>
      </c>
      <c r="H158" s="3" t="s">
        <v>61</v>
      </c>
      <c r="I158" s="3" t="s">
        <v>61</v>
      </c>
      <c r="J158" s="3" t="s">
        <v>62</v>
      </c>
      <c r="K158" s="2" t="s">
        <v>1920</v>
      </c>
      <c r="L158" s="2" t="s">
        <v>1921</v>
      </c>
      <c r="M158" s="3" t="s">
        <v>796</v>
      </c>
      <c r="O158" s="3" t="s">
        <v>114</v>
      </c>
      <c r="P158" s="3" t="s">
        <v>235</v>
      </c>
      <c r="R158" s="3" t="s">
        <v>68</v>
      </c>
      <c r="S158" s="4">
        <v>2</v>
      </c>
      <c r="T158" s="4">
        <v>2</v>
      </c>
      <c r="U158" s="5" t="s">
        <v>1922</v>
      </c>
      <c r="V158" s="5" t="s">
        <v>1922</v>
      </c>
      <c r="W158" s="5" t="s">
        <v>1844</v>
      </c>
      <c r="X158" s="5" t="s">
        <v>1844</v>
      </c>
      <c r="Y158" s="4">
        <v>182</v>
      </c>
      <c r="Z158" s="4">
        <v>143</v>
      </c>
      <c r="AA158" s="4">
        <v>144</v>
      </c>
      <c r="AB158" s="4">
        <v>2</v>
      </c>
      <c r="AC158" s="4">
        <v>2</v>
      </c>
      <c r="AD158" s="4">
        <v>4</v>
      </c>
      <c r="AE158" s="4">
        <v>4</v>
      </c>
      <c r="AF158" s="4">
        <v>1</v>
      </c>
      <c r="AG158" s="4">
        <v>1</v>
      </c>
      <c r="AH158" s="4">
        <v>0</v>
      </c>
      <c r="AI158" s="4">
        <v>0</v>
      </c>
      <c r="AJ158" s="4">
        <v>3</v>
      </c>
      <c r="AK158" s="4">
        <v>3</v>
      </c>
      <c r="AL158" s="4">
        <v>1</v>
      </c>
      <c r="AM158" s="4">
        <v>1</v>
      </c>
      <c r="AN158" s="4">
        <v>0</v>
      </c>
      <c r="AO158" s="4">
        <v>0</v>
      </c>
      <c r="AP158" s="3" t="s">
        <v>61</v>
      </c>
      <c r="AQ158" s="3" t="s">
        <v>59</v>
      </c>
      <c r="AR158" s="6" t="str">
        <f>HYPERLINK("http://catalog.hathitrust.org/Record/007107009","HathiTrust Record")</f>
        <v>HathiTrust Record</v>
      </c>
      <c r="AS158" s="6" t="str">
        <f>HYPERLINK("https://creighton-primo.hosted.exlibrisgroup.com/primo-explore/search?tab=default_tab&amp;search_scope=EVERYTHING&amp;vid=01CRU&amp;lang=en_US&amp;offset=0&amp;query=any,contains,991001314429702656","Catalog Record")</f>
        <v>Catalog Record</v>
      </c>
      <c r="AT158" s="6" t="str">
        <f>HYPERLINK("http://www.worldcat.org/oclc/18165574","WorldCat Record")</f>
        <v>WorldCat Record</v>
      </c>
      <c r="AU158" s="3" t="s">
        <v>1923</v>
      </c>
      <c r="AV158" s="3" t="s">
        <v>1924</v>
      </c>
      <c r="AW158" s="3" t="s">
        <v>1925</v>
      </c>
      <c r="AX158" s="3" t="s">
        <v>1925</v>
      </c>
      <c r="AY158" s="3" t="s">
        <v>1926</v>
      </c>
      <c r="AZ158" s="3" t="s">
        <v>75</v>
      </c>
      <c r="BB158" s="3" t="s">
        <v>1927</v>
      </c>
      <c r="BC158" s="3" t="s">
        <v>1928</v>
      </c>
      <c r="BD158" s="3" t="s">
        <v>1929</v>
      </c>
    </row>
    <row r="159" spans="1:56" ht="44.25" customHeight="1" x14ac:dyDescent="0.25">
      <c r="A159" s="7" t="s">
        <v>61</v>
      </c>
      <c r="B159" s="2" t="s">
        <v>1930</v>
      </c>
      <c r="C159" s="2" t="s">
        <v>1931</v>
      </c>
      <c r="D159" s="2" t="s">
        <v>1932</v>
      </c>
      <c r="F159" s="3" t="s">
        <v>61</v>
      </c>
      <c r="G159" s="3" t="s">
        <v>60</v>
      </c>
      <c r="H159" s="3" t="s">
        <v>61</v>
      </c>
      <c r="I159" s="3" t="s">
        <v>61</v>
      </c>
      <c r="J159" s="3" t="s">
        <v>62</v>
      </c>
      <c r="L159" s="2" t="s">
        <v>1933</v>
      </c>
      <c r="M159" s="3" t="s">
        <v>605</v>
      </c>
      <c r="O159" s="3" t="s">
        <v>114</v>
      </c>
      <c r="P159" s="3" t="s">
        <v>1934</v>
      </c>
      <c r="Q159" s="2" t="s">
        <v>1935</v>
      </c>
      <c r="R159" s="3" t="s">
        <v>68</v>
      </c>
      <c r="S159" s="4">
        <v>2</v>
      </c>
      <c r="T159" s="4">
        <v>2</v>
      </c>
      <c r="U159" s="5" t="s">
        <v>1936</v>
      </c>
      <c r="V159" s="5" t="s">
        <v>1936</v>
      </c>
      <c r="W159" s="5" t="s">
        <v>1937</v>
      </c>
      <c r="X159" s="5" t="s">
        <v>1937</v>
      </c>
      <c r="Y159" s="4">
        <v>204</v>
      </c>
      <c r="Z159" s="4">
        <v>170</v>
      </c>
      <c r="AA159" s="4">
        <v>172</v>
      </c>
      <c r="AB159" s="4">
        <v>1</v>
      </c>
      <c r="AC159" s="4">
        <v>1</v>
      </c>
      <c r="AD159" s="4">
        <v>6</v>
      </c>
      <c r="AE159" s="4">
        <v>6</v>
      </c>
      <c r="AF159" s="4">
        <v>2</v>
      </c>
      <c r="AG159" s="4">
        <v>2</v>
      </c>
      <c r="AH159" s="4">
        <v>2</v>
      </c>
      <c r="AI159" s="4">
        <v>2</v>
      </c>
      <c r="AJ159" s="4">
        <v>3</v>
      </c>
      <c r="AK159" s="4">
        <v>3</v>
      </c>
      <c r="AL159" s="4">
        <v>0</v>
      </c>
      <c r="AM159" s="4">
        <v>0</v>
      </c>
      <c r="AN159" s="4">
        <v>0</v>
      </c>
      <c r="AO159" s="4">
        <v>0</v>
      </c>
      <c r="AP159" s="3" t="s">
        <v>61</v>
      </c>
      <c r="AQ159" s="3" t="s">
        <v>59</v>
      </c>
      <c r="AR159" s="6" t="str">
        <f>HYPERLINK("http://catalog.hathitrust.org/Record/002619325","HathiTrust Record")</f>
        <v>HathiTrust Record</v>
      </c>
      <c r="AS159" s="6" t="str">
        <f>HYPERLINK("https://creighton-primo.hosted.exlibrisgroup.com/primo-explore/search?tab=default_tab&amp;search_scope=EVERYTHING&amp;vid=01CRU&amp;lang=en_US&amp;offset=0&amp;query=any,contains,991001626309702656","Catalog Record")</f>
        <v>Catalog Record</v>
      </c>
      <c r="AT159" s="6" t="str">
        <f>HYPERLINK("http://www.worldcat.org/oclc/20852879","WorldCat Record")</f>
        <v>WorldCat Record</v>
      </c>
      <c r="AU159" s="3" t="s">
        <v>1938</v>
      </c>
      <c r="AV159" s="3" t="s">
        <v>1939</v>
      </c>
      <c r="AW159" s="3" t="s">
        <v>1940</v>
      </c>
      <c r="AX159" s="3" t="s">
        <v>1940</v>
      </c>
      <c r="AY159" s="3" t="s">
        <v>1941</v>
      </c>
      <c r="AZ159" s="3" t="s">
        <v>75</v>
      </c>
      <c r="BB159" s="3" t="s">
        <v>1942</v>
      </c>
      <c r="BC159" s="3" t="s">
        <v>1943</v>
      </c>
      <c r="BD159" s="3" t="s">
        <v>1944</v>
      </c>
    </row>
    <row r="160" spans="1:56" ht="44.25" customHeight="1" x14ac:dyDescent="0.25">
      <c r="A160" s="7" t="s">
        <v>61</v>
      </c>
      <c r="B160" s="2" t="s">
        <v>1945</v>
      </c>
      <c r="C160" s="2" t="s">
        <v>1946</v>
      </c>
      <c r="D160" s="2" t="s">
        <v>1947</v>
      </c>
      <c r="F160" s="3" t="s">
        <v>61</v>
      </c>
      <c r="G160" s="3" t="s">
        <v>60</v>
      </c>
      <c r="H160" s="3" t="s">
        <v>61</v>
      </c>
      <c r="I160" s="3" t="s">
        <v>61</v>
      </c>
      <c r="J160" s="3" t="s">
        <v>62</v>
      </c>
      <c r="L160" s="2" t="s">
        <v>1948</v>
      </c>
      <c r="M160" s="3" t="s">
        <v>334</v>
      </c>
      <c r="O160" s="3" t="s">
        <v>114</v>
      </c>
      <c r="P160" s="3" t="s">
        <v>619</v>
      </c>
      <c r="R160" s="3" t="s">
        <v>68</v>
      </c>
      <c r="S160" s="4">
        <v>3</v>
      </c>
      <c r="T160" s="4">
        <v>3</v>
      </c>
      <c r="U160" s="5" t="s">
        <v>1019</v>
      </c>
      <c r="V160" s="5" t="s">
        <v>1019</v>
      </c>
      <c r="W160" s="5" t="s">
        <v>1844</v>
      </c>
      <c r="X160" s="5" t="s">
        <v>1844</v>
      </c>
      <c r="Y160" s="4">
        <v>415</v>
      </c>
      <c r="Z160" s="4">
        <v>339</v>
      </c>
      <c r="AA160" s="4">
        <v>345</v>
      </c>
      <c r="AB160" s="4">
        <v>5</v>
      </c>
      <c r="AC160" s="4">
        <v>5</v>
      </c>
      <c r="AD160" s="4">
        <v>10</v>
      </c>
      <c r="AE160" s="4">
        <v>10</v>
      </c>
      <c r="AF160" s="4">
        <v>1</v>
      </c>
      <c r="AG160" s="4">
        <v>1</v>
      </c>
      <c r="AH160" s="4">
        <v>3</v>
      </c>
      <c r="AI160" s="4">
        <v>3</v>
      </c>
      <c r="AJ160" s="4">
        <v>6</v>
      </c>
      <c r="AK160" s="4">
        <v>6</v>
      </c>
      <c r="AL160" s="4">
        <v>2</v>
      </c>
      <c r="AM160" s="4">
        <v>2</v>
      </c>
      <c r="AN160" s="4">
        <v>0</v>
      </c>
      <c r="AO160" s="4">
        <v>0</v>
      </c>
      <c r="AP160" s="3" t="s">
        <v>61</v>
      </c>
      <c r="AQ160" s="3" t="s">
        <v>59</v>
      </c>
      <c r="AR160" s="6" t="str">
        <f>HYPERLINK("http://catalog.hathitrust.org/Record/000827596","HathiTrust Record")</f>
        <v>HathiTrust Record</v>
      </c>
      <c r="AS160" s="6" t="str">
        <f>HYPERLINK("https://creighton-primo.hosted.exlibrisgroup.com/primo-explore/search?tab=default_tab&amp;search_scope=EVERYTHING&amp;vid=01CRU&amp;lang=en_US&amp;offset=0&amp;query=any,contains,991000978279702656","Catalog Record")</f>
        <v>Catalog Record</v>
      </c>
      <c r="AT160" s="6" t="str">
        <f>HYPERLINK("http://www.worldcat.org/oclc/15017371","WorldCat Record")</f>
        <v>WorldCat Record</v>
      </c>
      <c r="AU160" s="3" t="s">
        <v>1949</v>
      </c>
      <c r="AV160" s="3" t="s">
        <v>1950</v>
      </c>
      <c r="AW160" s="3" t="s">
        <v>1951</v>
      </c>
      <c r="AX160" s="3" t="s">
        <v>1951</v>
      </c>
      <c r="AY160" s="3" t="s">
        <v>1952</v>
      </c>
      <c r="AZ160" s="3" t="s">
        <v>75</v>
      </c>
      <c r="BB160" s="3" t="s">
        <v>1953</v>
      </c>
      <c r="BC160" s="3" t="s">
        <v>1954</v>
      </c>
      <c r="BD160" s="3" t="s">
        <v>1955</v>
      </c>
    </row>
    <row r="161" spans="1:56" ht="44.25" customHeight="1" x14ac:dyDescent="0.25">
      <c r="A161" s="7" t="s">
        <v>61</v>
      </c>
      <c r="B161" s="2" t="s">
        <v>1956</v>
      </c>
      <c r="C161" s="2" t="s">
        <v>1957</v>
      </c>
      <c r="D161" s="2" t="s">
        <v>1958</v>
      </c>
      <c r="F161" s="3" t="s">
        <v>61</v>
      </c>
      <c r="G161" s="3" t="s">
        <v>60</v>
      </c>
      <c r="H161" s="3" t="s">
        <v>61</v>
      </c>
      <c r="I161" s="3" t="s">
        <v>61</v>
      </c>
      <c r="J161" s="3" t="s">
        <v>62</v>
      </c>
      <c r="K161" s="2" t="s">
        <v>1959</v>
      </c>
      <c r="L161" s="2" t="s">
        <v>1960</v>
      </c>
      <c r="M161" s="3" t="s">
        <v>1870</v>
      </c>
      <c r="O161" s="3" t="s">
        <v>114</v>
      </c>
      <c r="P161" s="3" t="s">
        <v>1961</v>
      </c>
      <c r="R161" s="3" t="s">
        <v>68</v>
      </c>
      <c r="S161" s="4">
        <v>2</v>
      </c>
      <c r="T161" s="4">
        <v>2</v>
      </c>
      <c r="U161" s="5" t="s">
        <v>1962</v>
      </c>
      <c r="V161" s="5" t="s">
        <v>1962</v>
      </c>
      <c r="W161" s="5" t="s">
        <v>1963</v>
      </c>
      <c r="X161" s="5" t="s">
        <v>1963</v>
      </c>
      <c r="Y161" s="4">
        <v>652</v>
      </c>
      <c r="Z161" s="4">
        <v>557</v>
      </c>
      <c r="AA161" s="4">
        <v>712</v>
      </c>
      <c r="AB161" s="4">
        <v>4</v>
      </c>
      <c r="AC161" s="4">
        <v>7</v>
      </c>
      <c r="AD161" s="4">
        <v>23</v>
      </c>
      <c r="AE161" s="4">
        <v>34</v>
      </c>
      <c r="AF161" s="4">
        <v>7</v>
      </c>
      <c r="AG161" s="4">
        <v>11</v>
      </c>
      <c r="AH161" s="4">
        <v>6</v>
      </c>
      <c r="AI161" s="4">
        <v>8</v>
      </c>
      <c r="AJ161" s="4">
        <v>10</v>
      </c>
      <c r="AK161" s="4">
        <v>14</v>
      </c>
      <c r="AL161" s="4">
        <v>3</v>
      </c>
      <c r="AM161" s="4">
        <v>6</v>
      </c>
      <c r="AN161" s="4">
        <v>0</v>
      </c>
      <c r="AO161" s="4">
        <v>0</v>
      </c>
      <c r="AP161" s="3" t="s">
        <v>61</v>
      </c>
      <c r="AQ161" s="3" t="s">
        <v>59</v>
      </c>
      <c r="AR161" s="6" t="str">
        <f>HYPERLINK("http://catalog.hathitrust.org/Record/002958766","HathiTrust Record")</f>
        <v>HathiTrust Record</v>
      </c>
      <c r="AS161" s="6" t="str">
        <f>HYPERLINK("https://creighton-primo.hosted.exlibrisgroup.com/primo-explore/search?tab=default_tab&amp;search_scope=EVERYTHING&amp;vid=01CRU&amp;lang=en_US&amp;offset=0&amp;query=any,contains,991002474779702656","Catalog Record")</f>
        <v>Catalog Record</v>
      </c>
      <c r="AT161" s="6" t="str">
        <f>HYPERLINK("http://www.worldcat.org/oclc/32232251","WorldCat Record")</f>
        <v>WorldCat Record</v>
      </c>
      <c r="AU161" s="3" t="s">
        <v>1964</v>
      </c>
      <c r="AV161" s="3" t="s">
        <v>1965</v>
      </c>
      <c r="AW161" s="3" t="s">
        <v>1966</v>
      </c>
      <c r="AX161" s="3" t="s">
        <v>1966</v>
      </c>
      <c r="AY161" s="3" t="s">
        <v>1967</v>
      </c>
      <c r="AZ161" s="3" t="s">
        <v>75</v>
      </c>
      <c r="BB161" s="3" t="s">
        <v>1968</v>
      </c>
      <c r="BC161" s="3" t="s">
        <v>1969</v>
      </c>
      <c r="BD161" s="3" t="s">
        <v>1970</v>
      </c>
    </row>
    <row r="162" spans="1:56" ht="44.25" customHeight="1" x14ac:dyDescent="0.25">
      <c r="A162" s="7" t="s">
        <v>61</v>
      </c>
      <c r="B162" s="2" t="s">
        <v>1971</v>
      </c>
      <c r="C162" s="2" t="s">
        <v>1972</v>
      </c>
      <c r="D162" s="2" t="s">
        <v>1973</v>
      </c>
      <c r="F162" s="3" t="s">
        <v>61</v>
      </c>
      <c r="G162" s="3" t="s">
        <v>60</v>
      </c>
      <c r="H162" s="3" t="s">
        <v>61</v>
      </c>
      <c r="I162" s="3" t="s">
        <v>61</v>
      </c>
      <c r="J162" s="3" t="s">
        <v>62</v>
      </c>
      <c r="K162" s="2" t="s">
        <v>1974</v>
      </c>
      <c r="L162" s="2" t="s">
        <v>1975</v>
      </c>
      <c r="M162" s="3" t="s">
        <v>1976</v>
      </c>
      <c r="N162" s="2" t="s">
        <v>838</v>
      </c>
      <c r="O162" s="3" t="s">
        <v>114</v>
      </c>
      <c r="P162" s="3" t="s">
        <v>192</v>
      </c>
      <c r="Q162" s="2" t="s">
        <v>1977</v>
      </c>
      <c r="R162" s="3" t="s">
        <v>68</v>
      </c>
      <c r="S162" s="4">
        <v>3</v>
      </c>
      <c r="T162" s="4">
        <v>3</v>
      </c>
      <c r="U162" s="5" t="s">
        <v>1978</v>
      </c>
      <c r="V162" s="5" t="s">
        <v>1978</v>
      </c>
      <c r="W162" s="5" t="s">
        <v>1978</v>
      </c>
      <c r="X162" s="5" t="s">
        <v>1978</v>
      </c>
      <c r="Y162" s="4">
        <v>311</v>
      </c>
      <c r="Z162" s="4">
        <v>172</v>
      </c>
      <c r="AA162" s="4">
        <v>510</v>
      </c>
      <c r="AB162" s="4">
        <v>1</v>
      </c>
      <c r="AC162" s="4">
        <v>4</v>
      </c>
      <c r="AD162" s="4">
        <v>11</v>
      </c>
      <c r="AE162" s="4">
        <v>24</v>
      </c>
      <c r="AF162" s="4">
        <v>5</v>
      </c>
      <c r="AG162" s="4">
        <v>10</v>
      </c>
      <c r="AH162" s="4">
        <v>3</v>
      </c>
      <c r="AI162" s="4">
        <v>5</v>
      </c>
      <c r="AJ162" s="4">
        <v>7</v>
      </c>
      <c r="AK162" s="4">
        <v>13</v>
      </c>
      <c r="AL162" s="4">
        <v>0</v>
      </c>
      <c r="AM162" s="4">
        <v>3</v>
      </c>
      <c r="AN162" s="4">
        <v>0</v>
      </c>
      <c r="AO162" s="4">
        <v>0</v>
      </c>
      <c r="AP162" s="3" t="s">
        <v>61</v>
      </c>
      <c r="AQ162" s="3" t="s">
        <v>61</v>
      </c>
      <c r="AS162" s="6" t="str">
        <f>HYPERLINK("https://creighton-primo.hosted.exlibrisgroup.com/primo-explore/search?tab=default_tab&amp;search_scope=EVERYTHING&amp;vid=01CRU&amp;lang=en_US&amp;offset=0&amp;query=any,contains,991004218849702656","Catalog Record")</f>
        <v>Catalog Record</v>
      </c>
      <c r="AT162" s="6" t="str">
        <f>HYPERLINK("http://www.worldcat.org/oclc/52602748","WorldCat Record")</f>
        <v>WorldCat Record</v>
      </c>
      <c r="AU162" s="3" t="s">
        <v>1979</v>
      </c>
      <c r="AV162" s="3" t="s">
        <v>1980</v>
      </c>
      <c r="AW162" s="3" t="s">
        <v>1981</v>
      </c>
      <c r="AX162" s="3" t="s">
        <v>1981</v>
      </c>
      <c r="AY162" s="3" t="s">
        <v>1982</v>
      </c>
      <c r="AZ162" s="3" t="s">
        <v>75</v>
      </c>
      <c r="BB162" s="3" t="s">
        <v>1983</v>
      </c>
      <c r="BC162" s="3" t="s">
        <v>1984</v>
      </c>
      <c r="BD162" s="3" t="s">
        <v>1985</v>
      </c>
    </row>
    <row r="163" spans="1:56" ht="44.25" customHeight="1" x14ac:dyDescent="0.25">
      <c r="A163" s="7" t="s">
        <v>61</v>
      </c>
      <c r="B163" s="2" t="s">
        <v>1986</v>
      </c>
      <c r="C163" s="2" t="s">
        <v>1987</v>
      </c>
      <c r="D163" s="2" t="s">
        <v>1988</v>
      </c>
      <c r="F163" s="3" t="s">
        <v>61</v>
      </c>
      <c r="G163" s="3" t="s">
        <v>60</v>
      </c>
      <c r="H163" s="3" t="s">
        <v>61</v>
      </c>
      <c r="I163" s="3" t="s">
        <v>61</v>
      </c>
      <c r="J163" s="3" t="s">
        <v>62</v>
      </c>
      <c r="K163" s="2" t="s">
        <v>1989</v>
      </c>
      <c r="L163" s="2" t="s">
        <v>1990</v>
      </c>
      <c r="M163" s="3" t="s">
        <v>220</v>
      </c>
      <c r="O163" s="3" t="s">
        <v>114</v>
      </c>
      <c r="P163" s="3" t="s">
        <v>235</v>
      </c>
      <c r="R163" s="3" t="s">
        <v>68</v>
      </c>
      <c r="S163" s="4">
        <v>1</v>
      </c>
      <c r="T163" s="4">
        <v>1</v>
      </c>
      <c r="U163" s="5" t="s">
        <v>1991</v>
      </c>
      <c r="V163" s="5" t="s">
        <v>1991</v>
      </c>
      <c r="W163" s="5" t="s">
        <v>1991</v>
      </c>
      <c r="X163" s="5" t="s">
        <v>1991</v>
      </c>
      <c r="Y163" s="4">
        <v>549</v>
      </c>
      <c r="Z163" s="4">
        <v>507</v>
      </c>
      <c r="AA163" s="4">
        <v>575</v>
      </c>
      <c r="AB163" s="4">
        <v>5</v>
      </c>
      <c r="AC163" s="4">
        <v>5</v>
      </c>
      <c r="AD163" s="4">
        <v>28</v>
      </c>
      <c r="AE163" s="4">
        <v>28</v>
      </c>
      <c r="AF163" s="4">
        <v>10</v>
      </c>
      <c r="AG163" s="4">
        <v>10</v>
      </c>
      <c r="AH163" s="4">
        <v>9</v>
      </c>
      <c r="AI163" s="4">
        <v>9</v>
      </c>
      <c r="AJ163" s="4">
        <v>13</v>
      </c>
      <c r="AK163" s="4">
        <v>13</v>
      </c>
      <c r="AL163" s="4">
        <v>4</v>
      </c>
      <c r="AM163" s="4">
        <v>4</v>
      </c>
      <c r="AN163" s="4">
        <v>0</v>
      </c>
      <c r="AO163" s="4">
        <v>0</v>
      </c>
      <c r="AP163" s="3" t="s">
        <v>61</v>
      </c>
      <c r="AQ163" s="3" t="s">
        <v>61</v>
      </c>
      <c r="AS163" s="6" t="str">
        <f>HYPERLINK("https://creighton-primo.hosted.exlibrisgroup.com/primo-explore/search?tab=default_tab&amp;search_scope=EVERYTHING&amp;vid=01CRU&amp;lang=en_US&amp;offset=0&amp;query=any,contains,991004134169702656","Catalog Record")</f>
        <v>Catalog Record</v>
      </c>
      <c r="AT163" s="6" t="str">
        <f>HYPERLINK("http://www.worldcat.org/oclc/49239896","WorldCat Record")</f>
        <v>WorldCat Record</v>
      </c>
      <c r="AU163" s="3" t="s">
        <v>1992</v>
      </c>
      <c r="AV163" s="3" t="s">
        <v>1993</v>
      </c>
      <c r="AW163" s="3" t="s">
        <v>1994</v>
      </c>
      <c r="AX163" s="3" t="s">
        <v>1994</v>
      </c>
      <c r="AY163" s="3" t="s">
        <v>1995</v>
      </c>
      <c r="AZ163" s="3" t="s">
        <v>75</v>
      </c>
      <c r="BB163" s="3" t="s">
        <v>1996</v>
      </c>
      <c r="BC163" s="3" t="s">
        <v>1997</v>
      </c>
      <c r="BD163" s="3" t="s">
        <v>1998</v>
      </c>
    </row>
    <row r="164" spans="1:56" ht="44.25" customHeight="1" x14ac:dyDescent="0.25">
      <c r="A164" s="7" t="s">
        <v>61</v>
      </c>
      <c r="B164" s="2" t="s">
        <v>1999</v>
      </c>
      <c r="C164" s="2" t="s">
        <v>2000</v>
      </c>
      <c r="D164" s="2" t="s">
        <v>2001</v>
      </c>
      <c r="F164" s="3" t="s">
        <v>61</v>
      </c>
      <c r="G164" s="3" t="s">
        <v>60</v>
      </c>
      <c r="H164" s="3" t="s">
        <v>61</v>
      </c>
      <c r="I164" s="3" t="s">
        <v>61</v>
      </c>
      <c r="J164" s="3" t="s">
        <v>62</v>
      </c>
      <c r="K164" s="2" t="s">
        <v>2002</v>
      </c>
      <c r="L164" s="2" t="s">
        <v>2003</v>
      </c>
      <c r="M164" s="3" t="s">
        <v>334</v>
      </c>
      <c r="O164" s="3" t="s">
        <v>114</v>
      </c>
      <c r="P164" s="3" t="s">
        <v>192</v>
      </c>
      <c r="R164" s="3" t="s">
        <v>68</v>
      </c>
      <c r="S164" s="4">
        <v>1</v>
      </c>
      <c r="T164" s="4">
        <v>1</v>
      </c>
      <c r="U164" s="5" t="s">
        <v>1076</v>
      </c>
      <c r="V164" s="5" t="s">
        <v>1076</v>
      </c>
      <c r="W164" s="5" t="s">
        <v>2004</v>
      </c>
      <c r="X164" s="5" t="s">
        <v>2004</v>
      </c>
      <c r="Y164" s="4">
        <v>235</v>
      </c>
      <c r="Z164" s="4">
        <v>118</v>
      </c>
      <c r="AA164" s="4">
        <v>118</v>
      </c>
      <c r="AB164" s="4">
        <v>2</v>
      </c>
      <c r="AC164" s="4">
        <v>2</v>
      </c>
      <c r="AD164" s="4">
        <v>6</v>
      </c>
      <c r="AE164" s="4">
        <v>6</v>
      </c>
      <c r="AF164" s="4">
        <v>2</v>
      </c>
      <c r="AG164" s="4">
        <v>2</v>
      </c>
      <c r="AH164" s="4">
        <v>1</v>
      </c>
      <c r="AI164" s="4">
        <v>1</v>
      </c>
      <c r="AJ164" s="4">
        <v>4</v>
      </c>
      <c r="AK164" s="4">
        <v>4</v>
      </c>
      <c r="AL164" s="4">
        <v>1</v>
      </c>
      <c r="AM164" s="4">
        <v>1</v>
      </c>
      <c r="AN164" s="4">
        <v>0</v>
      </c>
      <c r="AO164" s="4">
        <v>0</v>
      </c>
      <c r="AP164" s="3" t="s">
        <v>61</v>
      </c>
      <c r="AQ164" s="3" t="s">
        <v>61</v>
      </c>
      <c r="AS164" s="6" t="str">
        <f>HYPERLINK("https://creighton-primo.hosted.exlibrisgroup.com/primo-explore/search?tab=default_tab&amp;search_scope=EVERYTHING&amp;vid=01CRU&amp;lang=en_US&amp;offset=0&amp;query=any,contains,991000972239702656","Catalog Record")</f>
        <v>Catalog Record</v>
      </c>
      <c r="AT164" s="6" t="str">
        <f>HYPERLINK("http://www.worldcat.org/oclc/14965494","WorldCat Record")</f>
        <v>WorldCat Record</v>
      </c>
      <c r="AU164" s="3" t="s">
        <v>2005</v>
      </c>
      <c r="AV164" s="3" t="s">
        <v>2006</v>
      </c>
      <c r="AW164" s="3" t="s">
        <v>2007</v>
      </c>
      <c r="AX164" s="3" t="s">
        <v>2007</v>
      </c>
      <c r="AY164" s="3" t="s">
        <v>2008</v>
      </c>
      <c r="AZ164" s="3" t="s">
        <v>75</v>
      </c>
      <c r="BB164" s="3" t="s">
        <v>2009</v>
      </c>
      <c r="BC164" s="3" t="s">
        <v>2010</v>
      </c>
      <c r="BD164" s="3" t="s">
        <v>2011</v>
      </c>
    </row>
    <row r="165" spans="1:56" ht="44.25" customHeight="1" x14ac:dyDescent="0.25">
      <c r="A165" s="7" t="s">
        <v>61</v>
      </c>
      <c r="B165" s="2" t="s">
        <v>2012</v>
      </c>
      <c r="C165" s="2" t="s">
        <v>2013</v>
      </c>
      <c r="D165" s="2" t="s">
        <v>2014</v>
      </c>
      <c r="F165" s="3" t="s">
        <v>61</v>
      </c>
      <c r="G165" s="3" t="s">
        <v>60</v>
      </c>
      <c r="H165" s="3" t="s">
        <v>61</v>
      </c>
      <c r="I165" s="3" t="s">
        <v>61</v>
      </c>
      <c r="J165" s="3" t="s">
        <v>62</v>
      </c>
      <c r="L165" s="2" t="s">
        <v>2015</v>
      </c>
      <c r="M165" s="3" t="s">
        <v>379</v>
      </c>
      <c r="O165" s="3" t="s">
        <v>114</v>
      </c>
      <c r="P165" s="3" t="s">
        <v>192</v>
      </c>
      <c r="R165" s="3" t="s">
        <v>68</v>
      </c>
      <c r="S165" s="4">
        <v>4</v>
      </c>
      <c r="T165" s="4">
        <v>4</v>
      </c>
      <c r="U165" s="5" t="s">
        <v>2016</v>
      </c>
      <c r="V165" s="5" t="s">
        <v>2016</v>
      </c>
      <c r="W165" s="5" t="s">
        <v>2017</v>
      </c>
      <c r="X165" s="5" t="s">
        <v>2017</v>
      </c>
      <c r="Y165" s="4">
        <v>516</v>
      </c>
      <c r="Z165" s="4">
        <v>361</v>
      </c>
      <c r="AA165" s="4">
        <v>361</v>
      </c>
      <c r="AB165" s="4">
        <v>2</v>
      </c>
      <c r="AC165" s="4">
        <v>2</v>
      </c>
      <c r="AD165" s="4">
        <v>21</v>
      </c>
      <c r="AE165" s="4">
        <v>21</v>
      </c>
      <c r="AF165" s="4">
        <v>10</v>
      </c>
      <c r="AG165" s="4">
        <v>10</v>
      </c>
      <c r="AH165" s="4">
        <v>6</v>
      </c>
      <c r="AI165" s="4">
        <v>6</v>
      </c>
      <c r="AJ165" s="4">
        <v>12</v>
      </c>
      <c r="AK165" s="4">
        <v>12</v>
      </c>
      <c r="AL165" s="4">
        <v>1</v>
      </c>
      <c r="AM165" s="4">
        <v>1</v>
      </c>
      <c r="AN165" s="4">
        <v>0</v>
      </c>
      <c r="AO165" s="4">
        <v>0</v>
      </c>
      <c r="AP165" s="3" t="s">
        <v>61</v>
      </c>
      <c r="AQ165" s="3" t="s">
        <v>61</v>
      </c>
      <c r="AS165" s="6" t="str">
        <f>HYPERLINK("https://creighton-primo.hosted.exlibrisgroup.com/primo-explore/search?tab=default_tab&amp;search_scope=EVERYTHING&amp;vid=01CRU&amp;lang=en_US&amp;offset=0&amp;query=any,contains,991003490399702656","Catalog Record")</f>
        <v>Catalog Record</v>
      </c>
      <c r="AT165" s="6" t="str">
        <f>HYPERLINK("http://www.worldcat.org/oclc/42780326","WorldCat Record")</f>
        <v>WorldCat Record</v>
      </c>
      <c r="AU165" s="3" t="s">
        <v>2018</v>
      </c>
      <c r="AV165" s="3" t="s">
        <v>2019</v>
      </c>
      <c r="AW165" s="3" t="s">
        <v>2020</v>
      </c>
      <c r="AX165" s="3" t="s">
        <v>2020</v>
      </c>
      <c r="AY165" s="3" t="s">
        <v>2021</v>
      </c>
      <c r="AZ165" s="3" t="s">
        <v>75</v>
      </c>
      <c r="BB165" s="3" t="s">
        <v>2022</v>
      </c>
      <c r="BC165" s="3" t="s">
        <v>2023</v>
      </c>
      <c r="BD165" s="3" t="s">
        <v>2024</v>
      </c>
    </row>
    <row r="166" spans="1:56" ht="44.25" customHeight="1" x14ac:dyDescent="0.25">
      <c r="A166" s="7" t="s">
        <v>61</v>
      </c>
      <c r="B166" s="2" t="s">
        <v>2025</v>
      </c>
      <c r="C166" s="2" t="s">
        <v>2026</v>
      </c>
      <c r="D166" s="2" t="s">
        <v>2027</v>
      </c>
      <c r="F166" s="3" t="s">
        <v>61</v>
      </c>
      <c r="G166" s="3" t="s">
        <v>60</v>
      </c>
      <c r="H166" s="3" t="s">
        <v>61</v>
      </c>
      <c r="I166" s="3" t="s">
        <v>61</v>
      </c>
      <c r="J166" s="3" t="s">
        <v>62</v>
      </c>
      <c r="K166" s="2" t="s">
        <v>2028</v>
      </c>
      <c r="L166" s="2" t="s">
        <v>2029</v>
      </c>
      <c r="M166" s="3" t="s">
        <v>605</v>
      </c>
      <c r="O166" s="3" t="s">
        <v>114</v>
      </c>
      <c r="P166" s="3" t="s">
        <v>192</v>
      </c>
      <c r="R166" s="3" t="s">
        <v>68</v>
      </c>
      <c r="S166" s="4">
        <v>2</v>
      </c>
      <c r="T166" s="4">
        <v>2</v>
      </c>
      <c r="U166" s="5" t="s">
        <v>2030</v>
      </c>
      <c r="V166" s="5" t="s">
        <v>2030</v>
      </c>
      <c r="W166" s="5" t="s">
        <v>2031</v>
      </c>
      <c r="X166" s="5" t="s">
        <v>2031</v>
      </c>
      <c r="Y166" s="4">
        <v>363</v>
      </c>
      <c r="Z166" s="4">
        <v>215</v>
      </c>
      <c r="AA166" s="4">
        <v>221</v>
      </c>
      <c r="AB166" s="4">
        <v>3</v>
      </c>
      <c r="AC166" s="4">
        <v>3</v>
      </c>
      <c r="AD166" s="4">
        <v>13</v>
      </c>
      <c r="AE166" s="4">
        <v>13</v>
      </c>
      <c r="AF166" s="4">
        <v>4</v>
      </c>
      <c r="AG166" s="4">
        <v>4</v>
      </c>
      <c r="AH166" s="4">
        <v>5</v>
      </c>
      <c r="AI166" s="4">
        <v>5</v>
      </c>
      <c r="AJ166" s="4">
        <v>5</v>
      </c>
      <c r="AK166" s="4">
        <v>5</v>
      </c>
      <c r="AL166" s="4">
        <v>2</v>
      </c>
      <c r="AM166" s="4">
        <v>2</v>
      </c>
      <c r="AN166" s="4">
        <v>0</v>
      </c>
      <c r="AO166" s="4">
        <v>0</v>
      </c>
      <c r="AP166" s="3" t="s">
        <v>61</v>
      </c>
      <c r="AQ166" s="3" t="s">
        <v>59</v>
      </c>
      <c r="AR166" s="6" t="str">
        <f>HYPERLINK("http://catalog.hathitrust.org/Record/002562566","HathiTrust Record")</f>
        <v>HathiTrust Record</v>
      </c>
      <c r="AS166" s="6" t="str">
        <f>HYPERLINK("https://creighton-primo.hosted.exlibrisgroup.com/primo-explore/search?tab=default_tab&amp;search_scope=EVERYTHING&amp;vid=01CRU&amp;lang=en_US&amp;offset=0&amp;query=any,contains,991002066469702656","Catalog Record")</f>
        <v>Catalog Record</v>
      </c>
      <c r="AT166" s="6" t="str">
        <f>HYPERLINK("http://www.worldcat.org/oclc/26443277","WorldCat Record")</f>
        <v>WorldCat Record</v>
      </c>
      <c r="AU166" s="3" t="s">
        <v>2032</v>
      </c>
      <c r="AV166" s="3" t="s">
        <v>2033</v>
      </c>
      <c r="AW166" s="3" t="s">
        <v>2034</v>
      </c>
      <c r="AX166" s="3" t="s">
        <v>2034</v>
      </c>
      <c r="AY166" s="3" t="s">
        <v>2035</v>
      </c>
      <c r="AZ166" s="3" t="s">
        <v>75</v>
      </c>
      <c r="BB166" s="3" t="s">
        <v>2036</v>
      </c>
      <c r="BC166" s="3" t="s">
        <v>2037</v>
      </c>
      <c r="BD166" s="3" t="s">
        <v>2038</v>
      </c>
    </row>
    <row r="167" spans="1:56" ht="44.25" customHeight="1" x14ac:dyDescent="0.25">
      <c r="A167" s="7" t="s">
        <v>61</v>
      </c>
      <c r="B167" s="2" t="s">
        <v>2039</v>
      </c>
      <c r="C167" s="2" t="s">
        <v>2040</v>
      </c>
      <c r="D167" s="2" t="s">
        <v>2041</v>
      </c>
      <c r="F167" s="3" t="s">
        <v>61</v>
      </c>
      <c r="G167" s="3" t="s">
        <v>60</v>
      </c>
      <c r="H167" s="3" t="s">
        <v>61</v>
      </c>
      <c r="I167" s="3" t="s">
        <v>61</v>
      </c>
      <c r="J167" s="3" t="s">
        <v>62</v>
      </c>
      <c r="K167" s="2" t="s">
        <v>2042</v>
      </c>
      <c r="L167" s="2" t="s">
        <v>2043</v>
      </c>
      <c r="M167" s="3" t="s">
        <v>2044</v>
      </c>
      <c r="O167" s="3" t="s">
        <v>1715</v>
      </c>
      <c r="P167" s="3" t="s">
        <v>1716</v>
      </c>
      <c r="R167" s="3" t="s">
        <v>68</v>
      </c>
      <c r="S167" s="4">
        <v>1</v>
      </c>
      <c r="T167" s="4">
        <v>1</v>
      </c>
      <c r="U167" s="5" t="s">
        <v>2045</v>
      </c>
      <c r="V167" s="5" t="s">
        <v>2045</v>
      </c>
      <c r="W167" s="5" t="s">
        <v>2046</v>
      </c>
      <c r="X167" s="5" t="s">
        <v>2046</v>
      </c>
      <c r="Y167" s="4">
        <v>35</v>
      </c>
      <c r="Z167" s="4">
        <v>11</v>
      </c>
      <c r="AA167" s="4">
        <v>33</v>
      </c>
      <c r="AB167" s="4">
        <v>1</v>
      </c>
      <c r="AC167" s="4">
        <v>1</v>
      </c>
      <c r="AD167" s="4">
        <v>1</v>
      </c>
      <c r="AE167" s="4">
        <v>3</v>
      </c>
      <c r="AF167" s="4">
        <v>0</v>
      </c>
      <c r="AG167" s="4">
        <v>1</v>
      </c>
      <c r="AH167" s="4">
        <v>1</v>
      </c>
      <c r="AI167" s="4">
        <v>2</v>
      </c>
      <c r="AJ167" s="4">
        <v>1</v>
      </c>
      <c r="AK167" s="4">
        <v>2</v>
      </c>
      <c r="AL167" s="4">
        <v>0</v>
      </c>
      <c r="AM167" s="4">
        <v>0</v>
      </c>
      <c r="AN167" s="4">
        <v>0</v>
      </c>
      <c r="AO167" s="4">
        <v>0</v>
      </c>
      <c r="AP167" s="3" t="s">
        <v>61</v>
      </c>
      <c r="AQ167" s="3" t="s">
        <v>61</v>
      </c>
      <c r="AS167" s="6" t="str">
        <f>HYPERLINK("https://creighton-primo.hosted.exlibrisgroup.com/primo-explore/search?tab=default_tab&amp;search_scope=EVERYTHING&amp;vid=01CRU&amp;lang=en_US&amp;offset=0&amp;query=any,contains,991003583659702656","Catalog Record")</f>
        <v>Catalog Record</v>
      </c>
      <c r="AT167" s="6" t="str">
        <f>HYPERLINK("http://www.worldcat.org/oclc/10043246","WorldCat Record")</f>
        <v>WorldCat Record</v>
      </c>
      <c r="AU167" s="3" t="s">
        <v>2047</v>
      </c>
      <c r="AV167" s="3" t="s">
        <v>2048</v>
      </c>
      <c r="AW167" s="3" t="s">
        <v>2049</v>
      </c>
      <c r="AX167" s="3" t="s">
        <v>2049</v>
      </c>
      <c r="AY167" s="3" t="s">
        <v>2050</v>
      </c>
      <c r="AZ167" s="3" t="s">
        <v>75</v>
      </c>
      <c r="BC167" s="3" t="s">
        <v>2051</v>
      </c>
      <c r="BD167" s="3" t="s">
        <v>2052</v>
      </c>
    </row>
    <row r="168" spans="1:56" ht="44.25" customHeight="1" x14ac:dyDescent="0.25">
      <c r="A168" s="7" t="s">
        <v>61</v>
      </c>
      <c r="B168" s="2" t="s">
        <v>2053</v>
      </c>
      <c r="C168" s="2" t="s">
        <v>2054</v>
      </c>
      <c r="D168" s="2" t="s">
        <v>2055</v>
      </c>
      <c r="F168" s="3" t="s">
        <v>61</v>
      </c>
      <c r="G168" s="3" t="s">
        <v>60</v>
      </c>
      <c r="H168" s="3" t="s">
        <v>61</v>
      </c>
      <c r="I168" s="3" t="s">
        <v>61</v>
      </c>
      <c r="J168" s="3" t="s">
        <v>62</v>
      </c>
      <c r="K168" s="2" t="s">
        <v>2056</v>
      </c>
      <c r="L168" s="2" t="s">
        <v>2057</v>
      </c>
      <c r="M168" s="3" t="s">
        <v>1074</v>
      </c>
      <c r="O168" s="3" t="s">
        <v>114</v>
      </c>
      <c r="P168" s="3" t="s">
        <v>235</v>
      </c>
      <c r="R168" s="3" t="s">
        <v>68</v>
      </c>
      <c r="S168" s="4">
        <v>4</v>
      </c>
      <c r="T168" s="4">
        <v>4</v>
      </c>
      <c r="U168" s="5" t="s">
        <v>2058</v>
      </c>
      <c r="V168" s="5" t="s">
        <v>2058</v>
      </c>
      <c r="W168" s="5" t="s">
        <v>1844</v>
      </c>
      <c r="X168" s="5" t="s">
        <v>1844</v>
      </c>
      <c r="Y168" s="4">
        <v>428</v>
      </c>
      <c r="Z168" s="4">
        <v>320</v>
      </c>
      <c r="AA168" s="4">
        <v>366</v>
      </c>
      <c r="AB168" s="4">
        <v>2</v>
      </c>
      <c r="AC168" s="4">
        <v>3</v>
      </c>
      <c r="AD168" s="4">
        <v>22</v>
      </c>
      <c r="AE168" s="4">
        <v>28</v>
      </c>
      <c r="AF168" s="4">
        <v>8</v>
      </c>
      <c r="AG168" s="4">
        <v>10</v>
      </c>
      <c r="AH168" s="4">
        <v>7</v>
      </c>
      <c r="AI168" s="4">
        <v>8</v>
      </c>
      <c r="AJ168" s="4">
        <v>15</v>
      </c>
      <c r="AK168" s="4">
        <v>17</v>
      </c>
      <c r="AL168" s="4">
        <v>1</v>
      </c>
      <c r="AM168" s="4">
        <v>2</v>
      </c>
      <c r="AN168" s="4">
        <v>0</v>
      </c>
      <c r="AO168" s="4">
        <v>1</v>
      </c>
      <c r="AP168" s="3" t="s">
        <v>61</v>
      </c>
      <c r="AQ168" s="3" t="s">
        <v>61</v>
      </c>
      <c r="AS168" s="6" t="str">
        <f>HYPERLINK("https://creighton-primo.hosted.exlibrisgroup.com/primo-explore/search?tab=default_tab&amp;search_scope=EVERYTHING&amp;vid=01CRU&amp;lang=en_US&amp;offset=0&amp;query=any,contains,991000562809702656","Catalog Record")</f>
        <v>Catalog Record</v>
      </c>
      <c r="AT168" s="6" t="str">
        <f>HYPERLINK("http://www.worldcat.org/oclc/11599669","WorldCat Record")</f>
        <v>WorldCat Record</v>
      </c>
      <c r="AU168" s="3" t="s">
        <v>2059</v>
      </c>
      <c r="AV168" s="3" t="s">
        <v>2060</v>
      </c>
      <c r="AW168" s="3" t="s">
        <v>2061</v>
      </c>
      <c r="AX168" s="3" t="s">
        <v>2061</v>
      </c>
      <c r="AY168" s="3" t="s">
        <v>2062</v>
      </c>
      <c r="AZ168" s="3" t="s">
        <v>75</v>
      </c>
      <c r="BB168" s="3" t="s">
        <v>2063</v>
      </c>
      <c r="BC168" s="3" t="s">
        <v>2064</v>
      </c>
      <c r="BD168" s="3" t="s">
        <v>2065</v>
      </c>
    </row>
    <row r="169" spans="1:56" ht="44.25" customHeight="1" x14ac:dyDescent="0.25">
      <c r="A169" s="7" t="s">
        <v>61</v>
      </c>
      <c r="B169" s="2" t="s">
        <v>2066</v>
      </c>
      <c r="C169" s="2" t="s">
        <v>2067</v>
      </c>
      <c r="D169" s="2" t="s">
        <v>2068</v>
      </c>
      <c r="F169" s="3" t="s">
        <v>61</v>
      </c>
      <c r="G169" s="3" t="s">
        <v>60</v>
      </c>
      <c r="H169" s="3" t="s">
        <v>61</v>
      </c>
      <c r="I169" s="3" t="s">
        <v>61</v>
      </c>
      <c r="J169" s="3" t="s">
        <v>62</v>
      </c>
      <c r="K169" s="2" t="s">
        <v>1223</v>
      </c>
      <c r="L169" s="2" t="s">
        <v>2069</v>
      </c>
      <c r="M169" s="3" t="s">
        <v>1319</v>
      </c>
      <c r="O169" s="3" t="s">
        <v>114</v>
      </c>
      <c r="P169" s="3" t="s">
        <v>1114</v>
      </c>
      <c r="Q169" s="2" t="s">
        <v>2070</v>
      </c>
      <c r="R169" s="3" t="s">
        <v>68</v>
      </c>
      <c r="S169" s="4">
        <v>2</v>
      </c>
      <c r="T169" s="4">
        <v>2</v>
      </c>
      <c r="U169" s="5" t="s">
        <v>1143</v>
      </c>
      <c r="V169" s="5" t="s">
        <v>1143</v>
      </c>
      <c r="W169" s="5" t="s">
        <v>2071</v>
      </c>
      <c r="X169" s="5" t="s">
        <v>2071</v>
      </c>
      <c r="Y169" s="4">
        <v>1157</v>
      </c>
      <c r="Z169" s="4">
        <v>923</v>
      </c>
      <c r="AA169" s="4">
        <v>1012</v>
      </c>
      <c r="AB169" s="4">
        <v>6</v>
      </c>
      <c r="AC169" s="4">
        <v>6</v>
      </c>
      <c r="AD169" s="4">
        <v>39</v>
      </c>
      <c r="AE169" s="4">
        <v>42</v>
      </c>
      <c r="AF169" s="4">
        <v>17</v>
      </c>
      <c r="AG169" s="4">
        <v>20</v>
      </c>
      <c r="AH169" s="4">
        <v>8</v>
      </c>
      <c r="AI169" s="4">
        <v>9</v>
      </c>
      <c r="AJ169" s="4">
        <v>20</v>
      </c>
      <c r="AK169" s="4">
        <v>21</v>
      </c>
      <c r="AL169" s="4">
        <v>5</v>
      </c>
      <c r="AM169" s="4">
        <v>5</v>
      </c>
      <c r="AN169" s="4">
        <v>0</v>
      </c>
      <c r="AO169" s="4">
        <v>0</v>
      </c>
      <c r="AP169" s="3" t="s">
        <v>61</v>
      </c>
      <c r="AQ169" s="3" t="s">
        <v>59</v>
      </c>
      <c r="AR169" s="6" t="str">
        <f>HYPERLINK("http://catalog.hathitrust.org/Record/000432170","HathiTrust Record")</f>
        <v>HathiTrust Record</v>
      </c>
      <c r="AS169" s="6" t="str">
        <f>HYPERLINK("https://creighton-primo.hosted.exlibrisgroup.com/primo-explore/search?tab=default_tab&amp;search_scope=EVERYTHING&amp;vid=01CRU&amp;lang=en_US&amp;offset=0&amp;query=any,contains,991002662969702656","Catalog Record")</f>
        <v>Catalog Record</v>
      </c>
      <c r="AT169" s="6" t="str">
        <f>HYPERLINK("http://www.worldcat.org/oclc/392087","WorldCat Record")</f>
        <v>WorldCat Record</v>
      </c>
      <c r="AU169" s="3" t="s">
        <v>2072</v>
      </c>
      <c r="AV169" s="3" t="s">
        <v>2073</v>
      </c>
      <c r="AW169" s="3" t="s">
        <v>2074</v>
      </c>
      <c r="AX169" s="3" t="s">
        <v>2074</v>
      </c>
      <c r="AY169" s="3" t="s">
        <v>2075</v>
      </c>
      <c r="AZ169" s="3" t="s">
        <v>75</v>
      </c>
      <c r="BC169" s="3" t="s">
        <v>2076</v>
      </c>
      <c r="BD169" s="3" t="s">
        <v>2077</v>
      </c>
    </row>
    <row r="170" spans="1:56" ht="44.25" customHeight="1" x14ac:dyDescent="0.25">
      <c r="A170" s="7" t="s">
        <v>61</v>
      </c>
      <c r="B170" s="2" t="s">
        <v>2078</v>
      </c>
      <c r="C170" s="2" t="s">
        <v>2079</v>
      </c>
      <c r="D170" s="2" t="s">
        <v>2080</v>
      </c>
      <c r="F170" s="3" t="s">
        <v>61</v>
      </c>
      <c r="G170" s="3" t="s">
        <v>60</v>
      </c>
      <c r="H170" s="3" t="s">
        <v>61</v>
      </c>
      <c r="I170" s="3" t="s">
        <v>61</v>
      </c>
      <c r="J170" s="3" t="s">
        <v>62</v>
      </c>
      <c r="K170" s="2" t="s">
        <v>2081</v>
      </c>
      <c r="L170" s="2" t="s">
        <v>2082</v>
      </c>
      <c r="M170" s="3" t="s">
        <v>1507</v>
      </c>
      <c r="O170" s="3" t="s">
        <v>114</v>
      </c>
      <c r="P170" s="3" t="s">
        <v>192</v>
      </c>
      <c r="Q170" s="2" t="s">
        <v>2083</v>
      </c>
      <c r="R170" s="3" t="s">
        <v>68</v>
      </c>
      <c r="S170" s="4">
        <v>1</v>
      </c>
      <c r="T170" s="4">
        <v>1</v>
      </c>
      <c r="U170" s="5" t="s">
        <v>1143</v>
      </c>
      <c r="V170" s="5" t="s">
        <v>1143</v>
      </c>
      <c r="W170" s="5" t="s">
        <v>2084</v>
      </c>
      <c r="X170" s="5" t="s">
        <v>2084</v>
      </c>
      <c r="Y170" s="4">
        <v>594</v>
      </c>
      <c r="Z170" s="4">
        <v>357</v>
      </c>
      <c r="AA170" s="4">
        <v>363</v>
      </c>
      <c r="AB170" s="4">
        <v>4</v>
      </c>
      <c r="AC170" s="4">
        <v>4</v>
      </c>
      <c r="AD170" s="4">
        <v>17</v>
      </c>
      <c r="AE170" s="4">
        <v>17</v>
      </c>
      <c r="AF170" s="4">
        <v>5</v>
      </c>
      <c r="AG170" s="4">
        <v>5</v>
      </c>
      <c r="AH170" s="4">
        <v>2</v>
      </c>
      <c r="AI170" s="4">
        <v>2</v>
      </c>
      <c r="AJ170" s="4">
        <v>10</v>
      </c>
      <c r="AK170" s="4">
        <v>10</v>
      </c>
      <c r="AL170" s="4">
        <v>3</v>
      </c>
      <c r="AM170" s="4">
        <v>3</v>
      </c>
      <c r="AN170" s="4">
        <v>0</v>
      </c>
      <c r="AO170" s="4">
        <v>0</v>
      </c>
      <c r="AP170" s="3" t="s">
        <v>61</v>
      </c>
      <c r="AQ170" s="3" t="s">
        <v>59</v>
      </c>
      <c r="AR170" s="6" t="str">
        <f>HYPERLINK("http://catalog.hathitrust.org/Record/000432298","HathiTrust Record")</f>
        <v>HathiTrust Record</v>
      </c>
      <c r="AS170" s="6" t="str">
        <f>HYPERLINK("https://creighton-primo.hosted.exlibrisgroup.com/primo-explore/search?tab=default_tab&amp;search_scope=EVERYTHING&amp;vid=01CRU&amp;lang=en_US&amp;offset=0&amp;query=any,contains,991003637259702656","Catalog Record")</f>
        <v>Catalog Record</v>
      </c>
      <c r="AT170" s="6" t="str">
        <f>HYPERLINK("http://www.worldcat.org/oclc/1230984","WorldCat Record")</f>
        <v>WorldCat Record</v>
      </c>
      <c r="AU170" s="3" t="s">
        <v>2085</v>
      </c>
      <c r="AV170" s="3" t="s">
        <v>2086</v>
      </c>
      <c r="AW170" s="3" t="s">
        <v>2087</v>
      </c>
      <c r="AX170" s="3" t="s">
        <v>2087</v>
      </c>
      <c r="AY170" s="3" t="s">
        <v>2088</v>
      </c>
      <c r="AZ170" s="3" t="s">
        <v>75</v>
      </c>
      <c r="BB170" s="3" t="s">
        <v>2089</v>
      </c>
      <c r="BC170" s="3" t="s">
        <v>2090</v>
      </c>
      <c r="BD170" s="3" t="s">
        <v>2091</v>
      </c>
    </row>
    <row r="171" spans="1:56" ht="44.25" customHeight="1" x14ac:dyDescent="0.25">
      <c r="A171" s="7" t="s">
        <v>61</v>
      </c>
      <c r="B171" s="2" t="s">
        <v>2092</v>
      </c>
      <c r="C171" s="2" t="s">
        <v>2093</v>
      </c>
      <c r="D171" s="2" t="s">
        <v>2094</v>
      </c>
      <c r="F171" s="3" t="s">
        <v>61</v>
      </c>
      <c r="G171" s="3" t="s">
        <v>60</v>
      </c>
      <c r="H171" s="3" t="s">
        <v>61</v>
      </c>
      <c r="I171" s="3" t="s">
        <v>61</v>
      </c>
      <c r="J171" s="3" t="s">
        <v>62</v>
      </c>
      <c r="K171" s="2" t="s">
        <v>2095</v>
      </c>
      <c r="L171" s="2" t="s">
        <v>2096</v>
      </c>
      <c r="M171" s="3" t="s">
        <v>552</v>
      </c>
      <c r="O171" s="3" t="s">
        <v>114</v>
      </c>
      <c r="P171" s="3" t="s">
        <v>364</v>
      </c>
      <c r="R171" s="3" t="s">
        <v>68</v>
      </c>
      <c r="S171" s="4">
        <v>3</v>
      </c>
      <c r="T171" s="4">
        <v>3</v>
      </c>
      <c r="U171" s="5" t="s">
        <v>2097</v>
      </c>
      <c r="V171" s="5" t="s">
        <v>2097</v>
      </c>
      <c r="W171" s="5" t="s">
        <v>2098</v>
      </c>
      <c r="X171" s="5" t="s">
        <v>2098</v>
      </c>
      <c r="Y171" s="4">
        <v>473</v>
      </c>
      <c r="Z171" s="4">
        <v>394</v>
      </c>
      <c r="AA171" s="4">
        <v>546</v>
      </c>
      <c r="AB171" s="4">
        <v>3</v>
      </c>
      <c r="AC171" s="4">
        <v>4</v>
      </c>
      <c r="AD171" s="4">
        <v>14</v>
      </c>
      <c r="AE171" s="4">
        <v>21</v>
      </c>
      <c r="AF171" s="4">
        <v>3</v>
      </c>
      <c r="AG171" s="4">
        <v>5</v>
      </c>
      <c r="AH171" s="4">
        <v>3</v>
      </c>
      <c r="AI171" s="4">
        <v>5</v>
      </c>
      <c r="AJ171" s="4">
        <v>6</v>
      </c>
      <c r="AK171" s="4">
        <v>10</v>
      </c>
      <c r="AL171" s="4">
        <v>2</v>
      </c>
      <c r="AM171" s="4">
        <v>3</v>
      </c>
      <c r="AN171" s="4">
        <v>1</v>
      </c>
      <c r="AO171" s="4">
        <v>1</v>
      </c>
      <c r="AP171" s="3" t="s">
        <v>61</v>
      </c>
      <c r="AQ171" s="3" t="s">
        <v>61</v>
      </c>
      <c r="AS171" s="6" t="str">
        <f>HYPERLINK("https://creighton-primo.hosted.exlibrisgroup.com/primo-explore/search?tab=default_tab&amp;search_scope=EVERYTHING&amp;vid=01CRU&amp;lang=en_US&amp;offset=0&amp;query=any,contains,991001420079702656","Catalog Record")</f>
        <v>Catalog Record</v>
      </c>
      <c r="AT171" s="6" t="str">
        <f>HYPERLINK("http://www.worldcat.org/oclc/18963235","WorldCat Record")</f>
        <v>WorldCat Record</v>
      </c>
      <c r="AU171" s="3" t="s">
        <v>2099</v>
      </c>
      <c r="AV171" s="3" t="s">
        <v>2100</v>
      </c>
      <c r="AW171" s="3" t="s">
        <v>2101</v>
      </c>
      <c r="AX171" s="3" t="s">
        <v>2101</v>
      </c>
      <c r="AY171" s="3" t="s">
        <v>2102</v>
      </c>
      <c r="AZ171" s="3" t="s">
        <v>75</v>
      </c>
      <c r="BB171" s="3" t="s">
        <v>2103</v>
      </c>
      <c r="BC171" s="3" t="s">
        <v>2104</v>
      </c>
      <c r="BD171" s="3" t="s">
        <v>2105</v>
      </c>
    </row>
    <row r="172" spans="1:56" ht="44.25" customHeight="1" x14ac:dyDescent="0.25">
      <c r="A172" s="7" t="s">
        <v>61</v>
      </c>
      <c r="B172" s="2" t="s">
        <v>2106</v>
      </c>
      <c r="C172" s="2" t="s">
        <v>2107</v>
      </c>
      <c r="D172" s="2" t="s">
        <v>2108</v>
      </c>
      <c r="F172" s="3" t="s">
        <v>61</v>
      </c>
      <c r="G172" s="3" t="s">
        <v>60</v>
      </c>
      <c r="H172" s="3" t="s">
        <v>61</v>
      </c>
      <c r="I172" s="3" t="s">
        <v>61</v>
      </c>
      <c r="J172" s="3" t="s">
        <v>62</v>
      </c>
      <c r="K172" s="2" t="s">
        <v>2109</v>
      </c>
      <c r="L172" s="2" t="s">
        <v>2110</v>
      </c>
      <c r="M172" s="3" t="s">
        <v>436</v>
      </c>
      <c r="O172" s="3" t="s">
        <v>114</v>
      </c>
      <c r="P172" s="3" t="s">
        <v>1114</v>
      </c>
      <c r="R172" s="3" t="s">
        <v>68</v>
      </c>
      <c r="S172" s="4">
        <v>3</v>
      </c>
      <c r="T172" s="4">
        <v>3</v>
      </c>
      <c r="U172" s="5" t="s">
        <v>1320</v>
      </c>
      <c r="V172" s="5" t="s">
        <v>1320</v>
      </c>
      <c r="W172" s="5" t="s">
        <v>2111</v>
      </c>
      <c r="X172" s="5" t="s">
        <v>2111</v>
      </c>
      <c r="Y172" s="4">
        <v>583</v>
      </c>
      <c r="Z172" s="4">
        <v>425</v>
      </c>
      <c r="AA172" s="4">
        <v>636</v>
      </c>
      <c r="AB172" s="4">
        <v>3</v>
      </c>
      <c r="AC172" s="4">
        <v>5</v>
      </c>
      <c r="AD172" s="4">
        <v>26</v>
      </c>
      <c r="AE172" s="4">
        <v>35</v>
      </c>
      <c r="AF172" s="4">
        <v>10</v>
      </c>
      <c r="AG172" s="4">
        <v>16</v>
      </c>
      <c r="AH172" s="4">
        <v>6</v>
      </c>
      <c r="AI172" s="4">
        <v>9</v>
      </c>
      <c r="AJ172" s="4">
        <v>13</v>
      </c>
      <c r="AK172" s="4">
        <v>16</v>
      </c>
      <c r="AL172" s="4">
        <v>2</v>
      </c>
      <c r="AM172" s="4">
        <v>3</v>
      </c>
      <c r="AN172" s="4">
        <v>0</v>
      </c>
      <c r="AO172" s="4">
        <v>0</v>
      </c>
      <c r="AP172" s="3" t="s">
        <v>61</v>
      </c>
      <c r="AQ172" s="3" t="s">
        <v>61</v>
      </c>
      <c r="AS172" s="6" t="str">
        <f>HYPERLINK("https://creighton-primo.hosted.exlibrisgroup.com/primo-explore/search?tab=default_tab&amp;search_scope=EVERYTHING&amp;vid=01CRU&amp;lang=en_US&amp;offset=0&amp;query=any,contains,991001704629702656","Catalog Record")</f>
        <v>Catalog Record</v>
      </c>
      <c r="AT172" s="6" t="str">
        <f>HYPERLINK("http://www.worldcat.org/oclc/21559758","WorldCat Record")</f>
        <v>WorldCat Record</v>
      </c>
      <c r="AU172" s="3" t="s">
        <v>2112</v>
      </c>
      <c r="AV172" s="3" t="s">
        <v>2113</v>
      </c>
      <c r="AW172" s="3" t="s">
        <v>2114</v>
      </c>
      <c r="AX172" s="3" t="s">
        <v>2114</v>
      </c>
      <c r="AY172" s="3" t="s">
        <v>2115</v>
      </c>
      <c r="AZ172" s="3" t="s">
        <v>75</v>
      </c>
      <c r="BB172" s="3" t="s">
        <v>2116</v>
      </c>
      <c r="BC172" s="3" t="s">
        <v>2117</v>
      </c>
      <c r="BD172" s="3" t="s">
        <v>2118</v>
      </c>
    </row>
    <row r="173" spans="1:56" ht="44.25" customHeight="1" x14ac:dyDescent="0.25">
      <c r="A173" s="7" t="s">
        <v>61</v>
      </c>
      <c r="B173" s="2" t="s">
        <v>2119</v>
      </c>
      <c r="C173" s="2" t="s">
        <v>2120</v>
      </c>
      <c r="D173" s="2" t="s">
        <v>2121</v>
      </c>
      <c r="F173" s="3" t="s">
        <v>61</v>
      </c>
      <c r="G173" s="3" t="s">
        <v>60</v>
      </c>
      <c r="H173" s="3" t="s">
        <v>61</v>
      </c>
      <c r="I173" s="3" t="s">
        <v>61</v>
      </c>
      <c r="J173" s="3" t="s">
        <v>62</v>
      </c>
      <c r="K173" s="2" t="s">
        <v>2122</v>
      </c>
      <c r="L173" s="2" t="s">
        <v>2123</v>
      </c>
      <c r="M173" s="3" t="s">
        <v>205</v>
      </c>
      <c r="O173" s="3" t="s">
        <v>114</v>
      </c>
      <c r="P173" s="3" t="s">
        <v>364</v>
      </c>
      <c r="R173" s="3" t="s">
        <v>68</v>
      </c>
      <c r="S173" s="4">
        <v>3</v>
      </c>
      <c r="T173" s="4">
        <v>3</v>
      </c>
      <c r="U173" s="5" t="s">
        <v>2124</v>
      </c>
      <c r="V173" s="5" t="s">
        <v>2124</v>
      </c>
      <c r="W173" s="5" t="s">
        <v>1844</v>
      </c>
      <c r="X173" s="5" t="s">
        <v>1844</v>
      </c>
      <c r="Y173" s="4">
        <v>640</v>
      </c>
      <c r="Z173" s="4">
        <v>497</v>
      </c>
      <c r="AA173" s="4">
        <v>526</v>
      </c>
      <c r="AB173" s="4">
        <v>5</v>
      </c>
      <c r="AC173" s="4">
        <v>5</v>
      </c>
      <c r="AD173" s="4">
        <v>31</v>
      </c>
      <c r="AE173" s="4">
        <v>32</v>
      </c>
      <c r="AF173" s="4">
        <v>11</v>
      </c>
      <c r="AG173" s="4">
        <v>12</v>
      </c>
      <c r="AH173" s="4">
        <v>8</v>
      </c>
      <c r="AI173" s="4">
        <v>9</v>
      </c>
      <c r="AJ173" s="4">
        <v>18</v>
      </c>
      <c r="AK173" s="4">
        <v>18</v>
      </c>
      <c r="AL173" s="4">
        <v>4</v>
      </c>
      <c r="AM173" s="4">
        <v>4</v>
      </c>
      <c r="AN173" s="4">
        <v>0</v>
      </c>
      <c r="AO173" s="4">
        <v>0</v>
      </c>
      <c r="AP173" s="3" t="s">
        <v>61</v>
      </c>
      <c r="AQ173" s="3" t="s">
        <v>61</v>
      </c>
      <c r="AS173" s="6" t="str">
        <f>HYPERLINK("https://creighton-primo.hosted.exlibrisgroup.com/primo-explore/search?tab=default_tab&amp;search_scope=EVERYTHING&amp;vid=01CRU&amp;lang=en_US&amp;offset=0&amp;query=any,contains,991000397829702656","Catalog Record")</f>
        <v>Catalog Record</v>
      </c>
      <c r="AT173" s="6" t="str">
        <f>HYPERLINK("http://www.worldcat.org/oclc/10605103","WorldCat Record")</f>
        <v>WorldCat Record</v>
      </c>
      <c r="AU173" s="3" t="s">
        <v>2125</v>
      </c>
      <c r="AV173" s="3" t="s">
        <v>2126</v>
      </c>
      <c r="AW173" s="3" t="s">
        <v>2127</v>
      </c>
      <c r="AX173" s="3" t="s">
        <v>2127</v>
      </c>
      <c r="AY173" s="3" t="s">
        <v>2128</v>
      </c>
      <c r="AZ173" s="3" t="s">
        <v>75</v>
      </c>
      <c r="BB173" s="3" t="s">
        <v>2129</v>
      </c>
      <c r="BC173" s="3" t="s">
        <v>2130</v>
      </c>
      <c r="BD173" s="3" t="s">
        <v>2131</v>
      </c>
    </row>
    <row r="174" spans="1:56" ht="44.25" customHeight="1" x14ac:dyDescent="0.25">
      <c r="A174" s="7" t="s">
        <v>61</v>
      </c>
      <c r="B174" s="2" t="s">
        <v>2132</v>
      </c>
      <c r="C174" s="2" t="s">
        <v>2133</v>
      </c>
      <c r="D174" s="2" t="s">
        <v>2134</v>
      </c>
      <c r="F174" s="3" t="s">
        <v>61</v>
      </c>
      <c r="G174" s="3" t="s">
        <v>60</v>
      </c>
      <c r="H174" s="3" t="s">
        <v>61</v>
      </c>
      <c r="I174" s="3" t="s">
        <v>61</v>
      </c>
      <c r="J174" s="3" t="s">
        <v>62</v>
      </c>
      <c r="K174" s="2" t="s">
        <v>2135</v>
      </c>
      <c r="L174" s="2" t="s">
        <v>2136</v>
      </c>
      <c r="M174" s="3" t="s">
        <v>350</v>
      </c>
      <c r="O174" s="3" t="s">
        <v>114</v>
      </c>
      <c r="P174" s="3" t="s">
        <v>192</v>
      </c>
      <c r="R174" s="3" t="s">
        <v>68</v>
      </c>
      <c r="S174" s="4">
        <v>5</v>
      </c>
      <c r="T174" s="4">
        <v>5</v>
      </c>
      <c r="U174" s="5" t="s">
        <v>2137</v>
      </c>
      <c r="V174" s="5" t="s">
        <v>2137</v>
      </c>
      <c r="W174" s="5" t="s">
        <v>1844</v>
      </c>
      <c r="X174" s="5" t="s">
        <v>1844</v>
      </c>
      <c r="Y174" s="4">
        <v>734</v>
      </c>
      <c r="Z174" s="4">
        <v>458</v>
      </c>
      <c r="AA174" s="4">
        <v>508</v>
      </c>
      <c r="AB174" s="4">
        <v>5</v>
      </c>
      <c r="AC174" s="4">
        <v>5</v>
      </c>
      <c r="AD174" s="4">
        <v>25</v>
      </c>
      <c r="AE174" s="4">
        <v>27</v>
      </c>
      <c r="AF174" s="4">
        <v>12</v>
      </c>
      <c r="AG174" s="4">
        <v>13</v>
      </c>
      <c r="AH174" s="4">
        <v>7</v>
      </c>
      <c r="AI174" s="4">
        <v>8</v>
      </c>
      <c r="AJ174" s="4">
        <v>13</v>
      </c>
      <c r="AK174" s="4">
        <v>14</v>
      </c>
      <c r="AL174" s="4">
        <v>3</v>
      </c>
      <c r="AM174" s="4">
        <v>3</v>
      </c>
      <c r="AN174" s="4">
        <v>0</v>
      </c>
      <c r="AO174" s="4">
        <v>0</v>
      </c>
      <c r="AP174" s="3" t="s">
        <v>61</v>
      </c>
      <c r="AQ174" s="3" t="s">
        <v>59</v>
      </c>
      <c r="AR174" s="6" t="str">
        <f>HYPERLINK("http://catalog.hathitrust.org/Record/000037057","HathiTrust Record")</f>
        <v>HathiTrust Record</v>
      </c>
      <c r="AS174" s="6" t="str">
        <f>HYPERLINK("https://creighton-primo.hosted.exlibrisgroup.com/primo-explore/search?tab=default_tab&amp;search_scope=EVERYTHING&amp;vid=01CRU&amp;lang=en_US&amp;offset=0&amp;query=any,contains,991004914339702656","Catalog Record")</f>
        <v>Catalog Record</v>
      </c>
      <c r="AT174" s="6" t="str">
        <f>HYPERLINK("http://www.worldcat.org/oclc/6014456","WorldCat Record")</f>
        <v>WorldCat Record</v>
      </c>
      <c r="AU174" s="3" t="s">
        <v>2138</v>
      </c>
      <c r="AV174" s="3" t="s">
        <v>2139</v>
      </c>
      <c r="AW174" s="3" t="s">
        <v>2140</v>
      </c>
      <c r="AX174" s="3" t="s">
        <v>2140</v>
      </c>
      <c r="AY174" s="3" t="s">
        <v>2141</v>
      </c>
      <c r="AZ174" s="3" t="s">
        <v>75</v>
      </c>
      <c r="BB174" s="3" t="s">
        <v>2142</v>
      </c>
      <c r="BC174" s="3" t="s">
        <v>2143</v>
      </c>
      <c r="BD174" s="3" t="s">
        <v>2144</v>
      </c>
    </row>
    <row r="175" spans="1:56" ht="44.25" customHeight="1" x14ac:dyDescent="0.25">
      <c r="A175" s="7" t="s">
        <v>61</v>
      </c>
      <c r="B175" s="2" t="s">
        <v>2145</v>
      </c>
      <c r="C175" s="2" t="s">
        <v>2146</v>
      </c>
      <c r="D175" s="2" t="s">
        <v>2147</v>
      </c>
      <c r="F175" s="3" t="s">
        <v>61</v>
      </c>
      <c r="G175" s="3" t="s">
        <v>60</v>
      </c>
      <c r="H175" s="3" t="s">
        <v>61</v>
      </c>
      <c r="I175" s="3" t="s">
        <v>61</v>
      </c>
      <c r="J175" s="3" t="s">
        <v>62</v>
      </c>
      <c r="K175" s="2" t="s">
        <v>2148</v>
      </c>
      <c r="L175" s="2" t="s">
        <v>2149</v>
      </c>
      <c r="M175" s="3" t="s">
        <v>249</v>
      </c>
      <c r="O175" s="3" t="s">
        <v>114</v>
      </c>
      <c r="P175" s="3" t="s">
        <v>192</v>
      </c>
      <c r="R175" s="3" t="s">
        <v>68</v>
      </c>
      <c r="S175" s="4">
        <v>5</v>
      </c>
      <c r="T175" s="4">
        <v>5</v>
      </c>
      <c r="U175" s="5" t="s">
        <v>1143</v>
      </c>
      <c r="V175" s="5" t="s">
        <v>1143</v>
      </c>
      <c r="W175" s="5" t="s">
        <v>2150</v>
      </c>
      <c r="X175" s="5" t="s">
        <v>2150</v>
      </c>
      <c r="Y175" s="4">
        <v>254</v>
      </c>
      <c r="Z175" s="4">
        <v>159</v>
      </c>
      <c r="AA175" s="4">
        <v>159</v>
      </c>
      <c r="AB175" s="4">
        <v>2</v>
      </c>
      <c r="AC175" s="4">
        <v>2</v>
      </c>
      <c r="AD175" s="4">
        <v>11</v>
      </c>
      <c r="AE175" s="4">
        <v>11</v>
      </c>
      <c r="AF175" s="4">
        <v>4</v>
      </c>
      <c r="AG175" s="4">
        <v>4</v>
      </c>
      <c r="AH175" s="4">
        <v>3</v>
      </c>
      <c r="AI175" s="4">
        <v>3</v>
      </c>
      <c r="AJ175" s="4">
        <v>7</v>
      </c>
      <c r="AK175" s="4">
        <v>7</v>
      </c>
      <c r="AL175" s="4">
        <v>1</v>
      </c>
      <c r="AM175" s="4">
        <v>1</v>
      </c>
      <c r="AN175" s="4">
        <v>0</v>
      </c>
      <c r="AO175" s="4">
        <v>0</v>
      </c>
      <c r="AP175" s="3" t="s">
        <v>61</v>
      </c>
      <c r="AQ175" s="3" t="s">
        <v>61</v>
      </c>
      <c r="AS175" s="6" t="str">
        <f>HYPERLINK("https://creighton-primo.hosted.exlibrisgroup.com/primo-explore/search?tab=default_tab&amp;search_scope=EVERYTHING&amp;vid=01CRU&amp;lang=en_US&amp;offset=0&amp;query=any,contains,991005415389702656","Catalog Record")</f>
        <v>Catalog Record</v>
      </c>
      <c r="AT175" s="6" t="str">
        <f>HYPERLINK("http://www.worldcat.org/oclc/25915590","WorldCat Record")</f>
        <v>WorldCat Record</v>
      </c>
      <c r="AU175" s="3" t="s">
        <v>2151</v>
      </c>
      <c r="AV175" s="3" t="s">
        <v>2152</v>
      </c>
      <c r="AW175" s="3" t="s">
        <v>2153</v>
      </c>
      <c r="AX175" s="3" t="s">
        <v>2153</v>
      </c>
      <c r="AY175" s="3" t="s">
        <v>2154</v>
      </c>
      <c r="AZ175" s="3" t="s">
        <v>75</v>
      </c>
      <c r="BB175" s="3" t="s">
        <v>2155</v>
      </c>
      <c r="BC175" s="3" t="s">
        <v>2156</v>
      </c>
      <c r="BD175" s="3" t="s">
        <v>2157</v>
      </c>
    </row>
    <row r="176" spans="1:56" ht="44.25" customHeight="1" x14ac:dyDescent="0.25">
      <c r="A176" s="7" t="s">
        <v>61</v>
      </c>
      <c r="B176" s="2" t="s">
        <v>2158</v>
      </c>
      <c r="C176" s="2" t="s">
        <v>2159</v>
      </c>
      <c r="D176" s="2" t="s">
        <v>2160</v>
      </c>
      <c r="F176" s="3" t="s">
        <v>61</v>
      </c>
      <c r="G176" s="3" t="s">
        <v>60</v>
      </c>
      <c r="H176" s="3" t="s">
        <v>61</v>
      </c>
      <c r="I176" s="3" t="s">
        <v>61</v>
      </c>
      <c r="J176" s="3" t="s">
        <v>62</v>
      </c>
      <c r="L176" s="2" t="s">
        <v>2161</v>
      </c>
      <c r="M176" s="3" t="s">
        <v>205</v>
      </c>
      <c r="O176" s="3" t="s">
        <v>114</v>
      </c>
      <c r="P176" s="3" t="s">
        <v>1114</v>
      </c>
      <c r="R176" s="3" t="s">
        <v>68</v>
      </c>
      <c r="S176" s="4">
        <v>3</v>
      </c>
      <c r="T176" s="4">
        <v>3</v>
      </c>
      <c r="U176" s="5" t="s">
        <v>2162</v>
      </c>
      <c r="V176" s="5" t="s">
        <v>2162</v>
      </c>
      <c r="W176" s="5" t="s">
        <v>1844</v>
      </c>
      <c r="X176" s="5" t="s">
        <v>1844</v>
      </c>
      <c r="Y176" s="4">
        <v>395</v>
      </c>
      <c r="Z176" s="4">
        <v>241</v>
      </c>
      <c r="AA176" s="4">
        <v>250</v>
      </c>
      <c r="AB176" s="4">
        <v>3</v>
      </c>
      <c r="AC176" s="4">
        <v>3</v>
      </c>
      <c r="AD176" s="4">
        <v>15</v>
      </c>
      <c r="AE176" s="4">
        <v>15</v>
      </c>
      <c r="AF176" s="4">
        <v>2</v>
      </c>
      <c r="AG176" s="4">
        <v>2</v>
      </c>
      <c r="AH176" s="4">
        <v>6</v>
      </c>
      <c r="AI176" s="4">
        <v>6</v>
      </c>
      <c r="AJ176" s="4">
        <v>9</v>
      </c>
      <c r="AK176" s="4">
        <v>9</v>
      </c>
      <c r="AL176" s="4">
        <v>2</v>
      </c>
      <c r="AM176" s="4">
        <v>2</v>
      </c>
      <c r="AN176" s="4">
        <v>0</v>
      </c>
      <c r="AO176" s="4">
        <v>0</v>
      </c>
      <c r="AP176" s="3" t="s">
        <v>61</v>
      </c>
      <c r="AQ176" s="3" t="s">
        <v>61</v>
      </c>
      <c r="AS176" s="6" t="str">
        <f>HYPERLINK("https://creighton-primo.hosted.exlibrisgroup.com/primo-explore/search?tab=default_tab&amp;search_scope=EVERYTHING&amp;vid=01CRU&amp;lang=en_US&amp;offset=0&amp;query=any,contains,991000240729702656","Catalog Record")</f>
        <v>Catalog Record</v>
      </c>
      <c r="AT176" s="6" t="str">
        <f>HYPERLINK("http://www.worldcat.org/oclc/9683439","WorldCat Record")</f>
        <v>WorldCat Record</v>
      </c>
      <c r="AU176" s="3" t="s">
        <v>2163</v>
      </c>
      <c r="AV176" s="3" t="s">
        <v>2164</v>
      </c>
      <c r="AW176" s="3" t="s">
        <v>2165</v>
      </c>
      <c r="AX176" s="3" t="s">
        <v>2165</v>
      </c>
      <c r="AY176" s="3" t="s">
        <v>2166</v>
      </c>
      <c r="AZ176" s="3" t="s">
        <v>75</v>
      </c>
      <c r="BB176" s="3" t="s">
        <v>2167</v>
      </c>
      <c r="BC176" s="3" t="s">
        <v>2168</v>
      </c>
      <c r="BD176" s="3" t="s">
        <v>2169</v>
      </c>
    </row>
    <row r="177" spans="1:56" ht="44.25" customHeight="1" x14ac:dyDescent="0.25">
      <c r="A177" s="7" t="s">
        <v>61</v>
      </c>
      <c r="B177" s="2" t="s">
        <v>2170</v>
      </c>
      <c r="C177" s="2" t="s">
        <v>2171</v>
      </c>
      <c r="D177" s="2" t="s">
        <v>2172</v>
      </c>
      <c r="F177" s="3" t="s">
        <v>61</v>
      </c>
      <c r="G177" s="3" t="s">
        <v>60</v>
      </c>
      <c r="H177" s="3" t="s">
        <v>61</v>
      </c>
      <c r="I177" s="3" t="s">
        <v>61</v>
      </c>
      <c r="J177" s="3" t="s">
        <v>62</v>
      </c>
      <c r="L177" s="2" t="s">
        <v>2173</v>
      </c>
      <c r="M177" s="3" t="s">
        <v>1465</v>
      </c>
      <c r="O177" s="3" t="s">
        <v>114</v>
      </c>
      <c r="P177" s="3" t="s">
        <v>364</v>
      </c>
      <c r="R177" s="3" t="s">
        <v>68</v>
      </c>
      <c r="S177" s="4">
        <v>3</v>
      </c>
      <c r="T177" s="4">
        <v>3</v>
      </c>
      <c r="U177" s="5" t="s">
        <v>2174</v>
      </c>
      <c r="V177" s="5" t="s">
        <v>2174</v>
      </c>
      <c r="W177" s="5" t="s">
        <v>2175</v>
      </c>
      <c r="X177" s="5" t="s">
        <v>2175</v>
      </c>
      <c r="Y177" s="4">
        <v>325</v>
      </c>
      <c r="Z177" s="4">
        <v>274</v>
      </c>
      <c r="AA177" s="4">
        <v>320</v>
      </c>
      <c r="AB177" s="4">
        <v>4</v>
      </c>
      <c r="AC177" s="4">
        <v>4</v>
      </c>
      <c r="AD177" s="4">
        <v>18</v>
      </c>
      <c r="AE177" s="4">
        <v>20</v>
      </c>
      <c r="AF177" s="4">
        <v>5</v>
      </c>
      <c r="AG177" s="4">
        <v>5</v>
      </c>
      <c r="AH177" s="4">
        <v>6</v>
      </c>
      <c r="AI177" s="4">
        <v>6</v>
      </c>
      <c r="AJ177" s="4">
        <v>11</v>
      </c>
      <c r="AK177" s="4">
        <v>13</v>
      </c>
      <c r="AL177" s="4">
        <v>3</v>
      </c>
      <c r="AM177" s="4">
        <v>3</v>
      </c>
      <c r="AN177" s="4">
        <v>0</v>
      </c>
      <c r="AO177" s="4">
        <v>0</v>
      </c>
      <c r="AP177" s="3" t="s">
        <v>61</v>
      </c>
      <c r="AQ177" s="3" t="s">
        <v>61</v>
      </c>
      <c r="AS177" s="6" t="str">
        <f>HYPERLINK("https://creighton-primo.hosted.exlibrisgroup.com/primo-explore/search?tab=default_tab&amp;search_scope=EVERYTHING&amp;vid=01CRU&amp;lang=en_US&amp;offset=0&amp;query=any,contains,991001884349702656","Catalog Record")</f>
        <v>Catalog Record</v>
      </c>
      <c r="AT177" s="6" t="str">
        <f>HYPERLINK("http://www.worldcat.org/oclc/23766286","WorldCat Record")</f>
        <v>WorldCat Record</v>
      </c>
      <c r="AU177" s="3" t="s">
        <v>2176</v>
      </c>
      <c r="AV177" s="3" t="s">
        <v>2177</v>
      </c>
      <c r="AW177" s="3" t="s">
        <v>2178</v>
      </c>
      <c r="AX177" s="3" t="s">
        <v>2178</v>
      </c>
      <c r="AY177" s="3" t="s">
        <v>2179</v>
      </c>
      <c r="AZ177" s="3" t="s">
        <v>75</v>
      </c>
      <c r="BB177" s="3" t="s">
        <v>2180</v>
      </c>
      <c r="BC177" s="3" t="s">
        <v>2181</v>
      </c>
      <c r="BD177" s="3" t="s">
        <v>2182</v>
      </c>
    </row>
    <row r="178" spans="1:56" ht="44.25" customHeight="1" x14ac:dyDescent="0.25">
      <c r="A178" s="7" t="s">
        <v>61</v>
      </c>
      <c r="B178" s="2" t="s">
        <v>2183</v>
      </c>
      <c r="C178" s="2" t="s">
        <v>2184</v>
      </c>
      <c r="D178" s="2" t="s">
        <v>2185</v>
      </c>
      <c r="F178" s="3" t="s">
        <v>61</v>
      </c>
      <c r="G178" s="3" t="s">
        <v>60</v>
      </c>
      <c r="H178" s="3" t="s">
        <v>61</v>
      </c>
      <c r="I178" s="3" t="s">
        <v>61</v>
      </c>
      <c r="J178" s="3" t="s">
        <v>62</v>
      </c>
      <c r="K178" s="2" t="s">
        <v>2186</v>
      </c>
      <c r="L178" s="2" t="s">
        <v>2187</v>
      </c>
      <c r="M178" s="3" t="s">
        <v>422</v>
      </c>
      <c r="O178" s="3" t="s">
        <v>114</v>
      </c>
      <c r="P178" s="3" t="s">
        <v>649</v>
      </c>
      <c r="R178" s="3" t="s">
        <v>68</v>
      </c>
      <c r="S178" s="4">
        <v>1</v>
      </c>
      <c r="T178" s="4">
        <v>1</v>
      </c>
      <c r="U178" s="5" t="s">
        <v>2188</v>
      </c>
      <c r="V178" s="5" t="s">
        <v>2188</v>
      </c>
      <c r="W178" s="5" t="s">
        <v>2189</v>
      </c>
      <c r="X178" s="5" t="s">
        <v>2189</v>
      </c>
      <c r="Y178" s="4">
        <v>672</v>
      </c>
      <c r="Z178" s="4">
        <v>525</v>
      </c>
      <c r="AA178" s="4">
        <v>672</v>
      </c>
      <c r="AB178" s="4">
        <v>4</v>
      </c>
      <c r="AC178" s="4">
        <v>4</v>
      </c>
      <c r="AD178" s="4">
        <v>32</v>
      </c>
      <c r="AE178" s="4">
        <v>36</v>
      </c>
      <c r="AF178" s="4">
        <v>13</v>
      </c>
      <c r="AG178" s="4">
        <v>17</v>
      </c>
      <c r="AH178" s="4">
        <v>8</v>
      </c>
      <c r="AI178" s="4">
        <v>8</v>
      </c>
      <c r="AJ178" s="4">
        <v>15</v>
      </c>
      <c r="AK178" s="4">
        <v>16</v>
      </c>
      <c r="AL178" s="4">
        <v>3</v>
      </c>
      <c r="AM178" s="4">
        <v>3</v>
      </c>
      <c r="AN178" s="4">
        <v>0</v>
      </c>
      <c r="AO178" s="4">
        <v>0</v>
      </c>
      <c r="AP178" s="3" t="s">
        <v>61</v>
      </c>
      <c r="AQ178" s="3" t="s">
        <v>61</v>
      </c>
      <c r="AS178" s="6" t="str">
        <f>HYPERLINK("https://creighton-primo.hosted.exlibrisgroup.com/primo-explore/search?tab=default_tab&amp;search_scope=EVERYTHING&amp;vid=01CRU&amp;lang=en_US&amp;offset=0&amp;query=any,contains,991002900679702656","Catalog Record")</f>
        <v>Catalog Record</v>
      </c>
      <c r="AT178" s="6" t="str">
        <f>HYPERLINK("http://www.worldcat.org/oclc/38248962","WorldCat Record")</f>
        <v>WorldCat Record</v>
      </c>
      <c r="AU178" s="3" t="s">
        <v>2190</v>
      </c>
      <c r="AV178" s="3" t="s">
        <v>2191</v>
      </c>
      <c r="AW178" s="3" t="s">
        <v>2192</v>
      </c>
      <c r="AX178" s="3" t="s">
        <v>2192</v>
      </c>
      <c r="AY178" s="3" t="s">
        <v>2193</v>
      </c>
      <c r="AZ178" s="3" t="s">
        <v>75</v>
      </c>
      <c r="BB178" s="3" t="s">
        <v>2194</v>
      </c>
      <c r="BC178" s="3" t="s">
        <v>2195</v>
      </c>
      <c r="BD178" s="3" t="s">
        <v>2196</v>
      </c>
    </row>
    <row r="179" spans="1:56" ht="44.25" customHeight="1" x14ac:dyDescent="0.25">
      <c r="A179" s="7" t="s">
        <v>61</v>
      </c>
      <c r="B179" s="2" t="s">
        <v>2197</v>
      </c>
      <c r="C179" s="2" t="s">
        <v>2198</v>
      </c>
      <c r="D179" s="2" t="s">
        <v>2199</v>
      </c>
      <c r="F179" s="3" t="s">
        <v>61</v>
      </c>
      <c r="G179" s="3" t="s">
        <v>60</v>
      </c>
      <c r="H179" s="3" t="s">
        <v>61</v>
      </c>
      <c r="I179" s="3" t="s">
        <v>61</v>
      </c>
      <c r="J179" s="3" t="s">
        <v>62</v>
      </c>
      <c r="K179" s="2" t="s">
        <v>2200</v>
      </c>
      <c r="L179" s="2" t="s">
        <v>2201</v>
      </c>
      <c r="M179" s="3" t="s">
        <v>1744</v>
      </c>
      <c r="O179" s="3" t="s">
        <v>114</v>
      </c>
      <c r="P179" s="3" t="s">
        <v>235</v>
      </c>
      <c r="Q179" s="2" t="s">
        <v>2202</v>
      </c>
      <c r="R179" s="3" t="s">
        <v>68</v>
      </c>
      <c r="S179" s="4">
        <v>1</v>
      </c>
      <c r="T179" s="4">
        <v>1</v>
      </c>
      <c r="U179" s="5" t="s">
        <v>1143</v>
      </c>
      <c r="V179" s="5" t="s">
        <v>1143</v>
      </c>
      <c r="W179" s="5" t="s">
        <v>2084</v>
      </c>
      <c r="X179" s="5" t="s">
        <v>2084</v>
      </c>
      <c r="Y179" s="4">
        <v>549</v>
      </c>
      <c r="Z179" s="4">
        <v>459</v>
      </c>
      <c r="AA179" s="4">
        <v>605</v>
      </c>
      <c r="AB179" s="4">
        <v>4</v>
      </c>
      <c r="AC179" s="4">
        <v>4</v>
      </c>
      <c r="AD179" s="4">
        <v>29</v>
      </c>
      <c r="AE179" s="4">
        <v>34</v>
      </c>
      <c r="AF179" s="4">
        <v>10</v>
      </c>
      <c r="AG179" s="4">
        <v>11</v>
      </c>
      <c r="AH179" s="4">
        <v>6</v>
      </c>
      <c r="AI179" s="4">
        <v>8</v>
      </c>
      <c r="AJ179" s="4">
        <v>19</v>
      </c>
      <c r="AK179" s="4">
        <v>22</v>
      </c>
      <c r="AL179" s="4">
        <v>3</v>
      </c>
      <c r="AM179" s="4">
        <v>3</v>
      </c>
      <c r="AN179" s="4">
        <v>1</v>
      </c>
      <c r="AO179" s="4">
        <v>1</v>
      </c>
      <c r="AP179" s="3" t="s">
        <v>61</v>
      </c>
      <c r="AQ179" s="3" t="s">
        <v>61</v>
      </c>
      <c r="AR179" s="6" t="str">
        <f>HYPERLINK("http://catalog.hathitrust.org/Record/007125257","HathiTrust Record")</f>
        <v>HathiTrust Record</v>
      </c>
      <c r="AS179" s="6" t="str">
        <f>HYPERLINK("https://creighton-primo.hosted.exlibrisgroup.com/primo-explore/search?tab=default_tab&amp;search_scope=EVERYTHING&amp;vid=01CRU&amp;lang=en_US&amp;offset=0&amp;query=any,contains,991003669269702656","Catalog Record")</f>
        <v>Catalog Record</v>
      </c>
      <c r="AT179" s="6" t="str">
        <f>HYPERLINK("http://www.worldcat.org/oclc/1285979","WorldCat Record")</f>
        <v>WorldCat Record</v>
      </c>
      <c r="AU179" s="3" t="s">
        <v>2203</v>
      </c>
      <c r="AV179" s="3" t="s">
        <v>2204</v>
      </c>
      <c r="AW179" s="3" t="s">
        <v>2205</v>
      </c>
      <c r="AX179" s="3" t="s">
        <v>2205</v>
      </c>
      <c r="AY179" s="3" t="s">
        <v>2206</v>
      </c>
      <c r="AZ179" s="3" t="s">
        <v>75</v>
      </c>
      <c r="BC179" s="3" t="s">
        <v>2207</v>
      </c>
      <c r="BD179" s="3" t="s">
        <v>2208</v>
      </c>
    </row>
    <row r="180" spans="1:56" ht="44.25" customHeight="1" x14ac:dyDescent="0.25">
      <c r="A180" s="7" t="s">
        <v>61</v>
      </c>
      <c r="B180" s="2" t="s">
        <v>2209</v>
      </c>
      <c r="C180" s="2" t="s">
        <v>2210</v>
      </c>
      <c r="D180" s="2" t="s">
        <v>2211</v>
      </c>
      <c r="F180" s="3" t="s">
        <v>61</v>
      </c>
      <c r="G180" s="3" t="s">
        <v>60</v>
      </c>
      <c r="H180" s="3" t="s">
        <v>61</v>
      </c>
      <c r="I180" s="3" t="s">
        <v>61</v>
      </c>
      <c r="J180" s="3" t="s">
        <v>62</v>
      </c>
      <c r="K180" s="2" t="s">
        <v>2212</v>
      </c>
      <c r="L180" s="2" t="s">
        <v>2213</v>
      </c>
      <c r="M180" s="3" t="s">
        <v>1976</v>
      </c>
      <c r="O180" s="3" t="s">
        <v>114</v>
      </c>
      <c r="P180" s="3" t="s">
        <v>192</v>
      </c>
      <c r="R180" s="3" t="s">
        <v>68</v>
      </c>
      <c r="S180" s="4">
        <v>4</v>
      </c>
      <c r="T180" s="4">
        <v>4</v>
      </c>
      <c r="U180" s="5" t="s">
        <v>2214</v>
      </c>
      <c r="V180" s="5" t="s">
        <v>2214</v>
      </c>
      <c r="W180" s="5" t="s">
        <v>2215</v>
      </c>
      <c r="X180" s="5" t="s">
        <v>2215</v>
      </c>
      <c r="Y180" s="4">
        <v>334</v>
      </c>
      <c r="Z180" s="4">
        <v>188</v>
      </c>
      <c r="AA180" s="4">
        <v>545</v>
      </c>
      <c r="AB180" s="4">
        <v>2</v>
      </c>
      <c r="AC180" s="4">
        <v>31</v>
      </c>
      <c r="AD180" s="4">
        <v>11</v>
      </c>
      <c r="AE180" s="4">
        <v>27</v>
      </c>
      <c r="AF180" s="4">
        <v>4</v>
      </c>
      <c r="AG180" s="4">
        <v>7</v>
      </c>
      <c r="AH180" s="4">
        <v>5</v>
      </c>
      <c r="AI180" s="4">
        <v>5</v>
      </c>
      <c r="AJ180" s="4">
        <v>6</v>
      </c>
      <c r="AK180" s="4">
        <v>9</v>
      </c>
      <c r="AL180" s="4">
        <v>1</v>
      </c>
      <c r="AM180" s="4">
        <v>12</v>
      </c>
      <c r="AN180" s="4">
        <v>0</v>
      </c>
      <c r="AO180" s="4">
        <v>0</v>
      </c>
      <c r="AP180" s="3" t="s">
        <v>61</v>
      </c>
      <c r="AQ180" s="3" t="s">
        <v>61</v>
      </c>
      <c r="AS180" s="6" t="str">
        <f>HYPERLINK("https://creighton-primo.hosted.exlibrisgroup.com/primo-explore/search?tab=default_tab&amp;search_scope=EVERYTHING&amp;vid=01CRU&amp;lang=en_US&amp;offset=0&amp;query=any,contains,991004219059702656","Catalog Record")</f>
        <v>Catalog Record</v>
      </c>
      <c r="AT180" s="6" t="str">
        <f>HYPERLINK("http://www.worldcat.org/oclc/70207507","WorldCat Record")</f>
        <v>WorldCat Record</v>
      </c>
      <c r="AU180" s="3" t="s">
        <v>2216</v>
      </c>
      <c r="AV180" s="3" t="s">
        <v>2217</v>
      </c>
      <c r="AW180" s="3" t="s">
        <v>2218</v>
      </c>
      <c r="AX180" s="3" t="s">
        <v>2218</v>
      </c>
      <c r="AY180" s="3" t="s">
        <v>2219</v>
      </c>
      <c r="AZ180" s="3" t="s">
        <v>75</v>
      </c>
      <c r="BB180" s="3" t="s">
        <v>2220</v>
      </c>
      <c r="BC180" s="3" t="s">
        <v>2221</v>
      </c>
      <c r="BD180" s="3" t="s">
        <v>2222</v>
      </c>
    </row>
    <row r="181" spans="1:56" ht="44.25" customHeight="1" x14ac:dyDescent="0.25">
      <c r="A181" s="7" t="s">
        <v>61</v>
      </c>
      <c r="B181" s="2" t="s">
        <v>2223</v>
      </c>
      <c r="C181" s="2" t="s">
        <v>2224</v>
      </c>
      <c r="D181" s="2" t="s">
        <v>2225</v>
      </c>
      <c r="F181" s="3" t="s">
        <v>61</v>
      </c>
      <c r="G181" s="3" t="s">
        <v>60</v>
      </c>
      <c r="H181" s="3" t="s">
        <v>61</v>
      </c>
      <c r="I181" s="3" t="s">
        <v>61</v>
      </c>
      <c r="J181" s="3" t="s">
        <v>62</v>
      </c>
      <c r="K181" s="2" t="s">
        <v>2226</v>
      </c>
      <c r="L181" s="2" t="s">
        <v>2227</v>
      </c>
      <c r="M181" s="3" t="s">
        <v>707</v>
      </c>
      <c r="O181" s="3" t="s">
        <v>114</v>
      </c>
      <c r="P181" s="3" t="s">
        <v>235</v>
      </c>
      <c r="Q181" s="2" t="s">
        <v>2228</v>
      </c>
      <c r="R181" s="3" t="s">
        <v>68</v>
      </c>
      <c r="S181" s="4">
        <v>1</v>
      </c>
      <c r="T181" s="4">
        <v>1</v>
      </c>
      <c r="U181" s="5" t="s">
        <v>954</v>
      </c>
      <c r="V181" s="5" t="s">
        <v>954</v>
      </c>
      <c r="W181" s="5" t="s">
        <v>2084</v>
      </c>
      <c r="X181" s="5" t="s">
        <v>2084</v>
      </c>
      <c r="Y181" s="4">
        <v>425</v>
      </c>
      <c r="Z181" s="4">
        <v>304</v>
      </c>
      <c r="AA181" s="4">
        <v>682</v>
      </c>
      <c r="AB181" s="4">
        <v>1</v>
      </c>
      <c r="AC181" s="4">
        <v>4</v>
      </c>
      <c r="AD181" s="4">
        <v>15</v>
      </c>
      <c r="AE181" s="4">
        <v>35</v>
      </c>
      <c r="AF181" s="4">
        <v>7</v>
      </c>
      <c r="AG181" s="4">
        <v>13</v>
      </c>
      <c r="AH181" s="4">
        <v>2</v>
      </c>
      <c r="AI181" s="4">
        <v>8</v>
      </c>
      <c r="AJ181" s="4">
        <v>10</v>
      </c>
      <c r="AK181" s="4">
        <v>21</v>
      </c>
      <c r="AL181" s="4">
        <v>0</v>
      </c>
      <c r="AM181" s="4">
        <v>3</v>
      </c>
      <c r="AN181" s="4">
        <v>0</v>
      </c>
      <c r="AO181" s="4">
        <v>0</v>
      </c>
      <c r="AP181" s="3" t="s">
        <v>61</v>
      </c>
      <c r="AQ181" s="3" t="s">
        <v>59</v>
      </c>
      <c r="AR181" s="6" t="str">
        <f>HYPERLINK("http://catalog.hathitrust.org/Record/007525002","HathiTrust Record")</f>
        <v>HathiTrust Record</v>
      </c>
      <c r="AS181" s="6" t="str">
        <f>HYPERLINK("https://creighton-primo.hosted.exlibrisgroup.com/primo-explore/search?tab=default_tab&amp;search_scope=EVERYTHING&amp;vid=01CRU&amp;lang=en_US&amp;offset=0&amp;query=any,contains,991002762099702656","Catalog Record")</f>
        <v>Catalog Record</v>
      </c>
      <c r="AT181" s="6" t="str">
        <f>HYPERLINK("http://www.worldcat.org/oclc/429403","WorldCat Record")</f>
        <v>WorldCat Record</v>
      </c>
      <c r="AU181" s="3" t="s">
        <v>2229</v>
      </c>
      <c r="AV181" s="3" t="s">
        <v>2230</v>
      </c>
      <c r="AW181" s="3" t="s">
        <v>2231</v>
      </c>
      <c r="AX181" s="3" t="s">
        <v>2231</v>
      </c>
      <c r="AY181" s="3" t="s">
        <v>2232</v>
      </c>
      <c r="AZ181" s="3" t="s">
        <v>75</v>
      </c>
      <c r="BC181" s="3" t="s">
        <v>2233</v>
      </c>
      <c r="BD181" s="3" t="s">
        <v>2234</v>
      </c>
    </row>
    <row r="182" spans="1:56" ht="44.25" customHeight="1" x14ac:dyDescent="0.25">
      <c r="A182" s="7" t="s">
        <v>61</v>
      </c>
      <c r="B182" s="2" t="s">
        <v>2235</v>
      </c>
      <c r="C182" s="2" t="s">
        <v>2236</v>
      </c>
      <c r="D182" s="2" t="s">
        <v>2237</v>
      </c>
      <c r="F182" s="3" t="s">
        <v>61</v>
      </c>
      <c r="G182" s="3" t="s">
        <v>60</v>
      </c>
      <c r="H182" s="3" t="s">
        <v>61</v>
      </c>
      <c r="I182" s="3" t="s">
        <v>61</v>
      </c>
      <c r="J182" s="3" t="s">
        <v>62</v>
      </c>
      <c r="K182" s="2" t="s">
        <v>2238</v>
      </c>
      <c r="L182" s="2" t="s">
        <v>2239</v>
      </c>
      <c r="M182" s="3" t="s">
        <v>113</v>
      </c>
      <c r="O182" s="3" t="s">
        <v>114</v>
      </c>
      <c r="P182" s="3" t="s">
        <v>235</v>
      </c>
      <c r="R182" s="3" t="s">
        <v>68</v>
      </c>
      <c r="S182" s="4">
        <v>5</v>
      </c>
      <c r="T182" s="4">
        <v>5</v>
      </c>
      <c r="U182" s="5" t="s">
        <v>2240</v>
      </c>
      <c r="V182" s="5" t="s">
        <v>2240</v>
      </c>
      <c r="W182" s="5" t="s">
        <v>2084</v>
      </c>
      <c r="X182" s="5" t="s">
        <v>2084</v>
      </c>
      <c r="Y182" s="4">
        <v>1097</v>
      </c>
      <c r="Z182" s="4">
        <v>968</v>
      </c>
      <c r="AA182" s="4">
        <v>1019</v>
      </c>
      <c r="AB182" s="4">
        <v>11</v>
      </c>
      <c r="AC182" s="4">
        <v>11</v>
      </c>
      <c r="AD182" s="4">
        <v>44</v>
      </c>
      <c r="AE182" s="4">
        <v>47</v>
      </c>
      <c r="AF182" s="4">
        <v>14</v>
      </c>
      <c r="AG182" s="4">
        <v>17</v>
      </c>
      <c r="AH182" s="4">
        <v>9</v>
      </c>
      <c r="AI182" s="4">
        <v>9</v>
      </c>
      <c r="AJ182" s="4">
        <v>23</v>
      </c>
      <c r="AK182" s="4">
        <v>24</v>
      </c>
      <c r="AL182" s="4">
        <v>9</v>
      </c>
      <c r="AM182" s="4">
        <v>9</v>
      </c>
      <c r="AN182" s="4">
        <v>0</v>
      </c>
      <c r="AO182" s="4">
        <v>0</v>
      </c>
      <c r="AP182" s="3" t="s">
        <v>61</v>
      </c>
      <c r="AQ182" s="3" t="s">
        <v>59</v>
      </c>
      <c r="AR182" s="6" t="str">
        <f>HYPERLINK("http://catalog.hathitrust.org/Record/000394971","HathiTrust Record")</f>
        <v>HathiTrust Record</v>
      </c>
      <c r="AS182" s="6" t="str">
        <f>HYPERLINK("https://creighton-primo.hosted.exlibrisgroup.com/primo-explore/search?tab=default_tab&amp;search_scope=EVERYTHING&amp;vid=01CRU&amp;lang=en_US&amp;offset=0&amp;query=any,contains,991002663549702656","Catalog Record")</f>
        <v>Catalog Record</v>
      </c>
      <c r="AT182" s="6" t="str">
        <f>HYPERLINK("http://www.worldcat.org/oclc/392231","WorldCat Record")</f>
        <v>WorldCat Record</v>
      </c>
      <c r="AU182" s="3" t="s">
        <v>2241</v>
      </c>
      <c r="AV182" s="3" t="s">
        <v>2242</v>
      </c>
      <c r="AW182" s="3" t="s">
        <v>2243</v>
      </c>
      <c r="AX182" s="3" t="s">
        <v>2243</v>
      </c>
      <c r="AY182" s="3" t="s">
        <v>2244</v>
      </c>
      <c r="AZ182" s="3" t="s">
        <v>75</v>
      </c>
      <c r="BC182" s="3" t="s">
        <v>2245</v>
      </c>
      <c r="BD182" s="3" t="s">
        <v>2246</v>
      </c>
    </row>
    <row r="183" spans="1:56" ht="44.25" customHeight="1" x14ac:dyDescent="0.25">
      <c r="A183" s="7" t="s">
        <v>61</v>
      </c>
      <c r="B183" s="2" t="s">
        <v>2247</v>
      </c>
      <c r="C183" s="2" t="s">
        <v>2248</v>
      </c>
      <c r="D183" s="2" t="s">
        <v>2249</v>
      </c>
      <c r="F183" s="3" t="s">
        <v>61</v>
      </c>
      <c r="G183" s="3" t="s">
        <v>60</v>
      </c>
      <c r="H183" s="3" t="s">
        <v>61</v>
      </c>
      <c r="I183" s="3" t="s">
        <v>61</v>
      </c>
      <c r="J183" s="3" t="s">
        <v>62</v>
      </c>
      <c r="K183" s="2" t="s">
        <v>2250</v>
      </c>
      <c r="L183" s="2" t="s">
        <v>2251</v>
      </c>
      <c r="M183" s="3" t="s">
        <v>579</v>
      </c>
      <c r="O183" s="3" t="s">
        <v>114</v>
      </c>
      <c r="P183" s="3" t="s">
        <v>364</v>
      </c>
      <c r="R183" s="3" t="s">
        <v>68</v>
      </c>
      <c r="S183" s="4">
        <v>1</v>
      </c>
      <c r="T183" s="4">
        <v>1</v>
      </c>
      <c r="U183" s="5" t="s">
        <v>2252</v>
      </c>
      <c r="V183" s="5" t="s">
        <v>2252</v>
      </c>
      <c r="W183" s="5" t="s">
        <v>1844</v>
      </c>
      <c r="X183" s="5" t="s">
        <v>1844</v>
      </c>
      <c r="Y183" s="4">
        <v>827</v>
      </c>
      <c r="Z183" s="4">
        <v>708</v>
      </c>
      <c r="AA183" s="4">
        <v>829</v>
      </c>
      <c r="AB183" s="4">
        <v>5</v>
      </c>
      <c r="AC183" s="4">
        <v>6</v>
      </c>
      <c r="AD183" s="4">
        <v>29</v>
      </c>
      <c r="AE183" s="4">
        <v>36</v>
      </c>
      <c r="AF183" s="4">
        <v>8</v>
      </c>
      <c r="AG183" s="4">
        <v>12</v>
      </c>
      <c r="AH183" s="4">
        <v>8</v>
      </c>
      <c r="AI183" s="4">
        <v>9</v>
      </c>
      <c r="AJ183" s="4">
        <v>17</v>
      </c>
      <c r="AK183" s="4">
        <v>19</v>
      </c>
      <c r="AL183" s="4">
        <v>4</v>
      </c>
      <c r="AM183" s="4">
        <v>5</v>
      </c>
      <c r="AN183" s="4">
        <v>0</v>
      </c>
      <c r="AO183" s="4">
        <v>0</v>
      </c>
      <c r="AP183" s="3" t="s">
        <v>61</v>
      </c>
      <c r="AQ183" s="3" t="s">
        <v>61</v>
      </c>
      <c r="AS183" s="6" t="str">
        <f>HYPERLINK("https://creighton-primo.hosted.exlibrisgroup.com/primo-explore/search?tab=default_tab&amp;search_scope=EVERYTHING&amp;vid=01CRU&amp;lang=en_US&amp;offset=0&amp;query=any,contains,991000629229702656","Catalog Record")</f>
        <v>Catalog Record</v>
      </c>
      <c r="AT183" s="6" t="str">
        <f>HYPERLINK("http://www.worldcat.org/oclc/12051232","WorldCat Record")</f>
        <v>WorldCat Record</v>
      </c>
      <c r="AU183" s="3" t="s">
        <v>2253</v>
      </c>
      <c r="AV183" s="3" t="s">
        <v>2254</v>
      </c>
      <c r="AW183" s="3" t="s">
        <v>2255</v>
      </c>
      <c r="AX183" s="3" t="s">
        <v>2255</v>
      </c>
      <c r="AY183" s="3" t="s">
        <v>2256</v>
      </c>
      <c r="AZ183" s="3" t="s">
        <v>75</v>
      </c>
      <c r="BB183" s="3" t="s">
        <v>2257</v>
      </c>
      <c r="BC183" s="3" t="s">
        <v>2258</v>
      </c>
      <c r="BD183" s="3" t="s">
        <v>2259</v>
      </c>
    </row>
    <row r="184" spans="1:56" ht="44.25" customHeight="1" x14ac:dyDescent="0.25">
      <c r="A184" s="7" t="s">
        <v>61</v>
      </c>
      <c r="B184" s="2" t="s">
        <v>2260</v>
      </c>
      <c r="C184" s="2" t="s">
        <v>2261</v>
      </c>
      <c r="D184" s="2" t="s">
        <v>2262</v>
      </c>
      <c r="E184" s="3" t="s">
        <v>2263</v>
      </c>
      <c r="F184" s="3" t="s">
        <v>59</v>
      </c>
      <c r="G184" s="3" t="s">
        <v>60</v>
      </c>
      <c r="H184" s="3" t="s">
        <v>61</v>
      </c>
      <c r="I184" s="3" t="s">
        <v>61</v>
      </c>
      <c r="J184" s="3" t="s">
        <v>62</v>
      </c>
      <c r="K184" s="2" t="s">
        <v>2264</v>
      </c>
      <c r="L184" s="2" t="s">
        <v>2265</v>
      </c>
      <c r="M184" s="3" t="s">
        <v>144</v>
      </c>
      <c r="O184" s="3" t="s">
        <v>1715</v>
      </c>
      <c r="P184" s="3" t="s">
        <v>1716</v>
      </c>
      <c r="R184" s="3" t="s">
        <v>68</v>
      </c>
      <c r="S184" s="4">
        <v>1</v>
      </c>
      <c r="T184" s="4">
        <v>2</v>
      </c>
      <c r="U184" s="5" t="s">
        <v>2266</v>
      </c>
      <c r="V184" s="5" t="s">
        <v>2266</v>
      </c>
      <c r="W184" s="5" t="s">
        <v>2266</v>
      </c>
      <c r="X184" s="5" t="s">
        <v>2266</v>
      </c>
      <c r="Y184" s="4">
        <v>94</v>
      </c>
      <c r="Z184" s="4">
        <v>66</v>
      </c>
      <c r="AA184" s="4">
        <v>115</v>
      </c>
      <c r="AB184" s="4">
        <v>2</v>
      </c>
      <c r="AC184" s="4">
        <v>2</v>
      </c>
      <c r="AD184" s="4">
        <v>1</v>
      </c>
      <c r="AE184" s="4">
        <v>3</v>
      </c>
      <c r="AF184" s="4">
        <v>0</v>
      </c>
      <c r="AG184" s="4">
        <v>0</v>
      </c>
      <c r="AH184" s="4">
        <v>0</v>
      </c>
      <c r="AI184" s="4">
        <v>0</v>
      </c>
      <c r="AJ184" s="4">
        <v>0</v>
      </c>
      <c r="AK184" s="4">
        <v>2</v>
      </c>
      <c r="AL184" s="4">
        <v>1</v>
      </c>
      <c r="AM184" s="4">
        <v>1</v>
      </c>
      <c r="AN184" s="4">
        <v>0</v>
      </c>
      <c r="AO184" s="4">
        <v>0</v>
      </c>
      <c r="AP184" s="3" t="s">
        <v>59</v>
      </c>
      <c r="AQ184" s="3" t="s">
        <v>61</v>
      </c>
      <c r="AR184" s="6" t="str">
        <f>HYPERLINK("http://catalog.hathitrust.org/Record/000590877","HathiTrust Record")</f>
        <v>HathiTrust Record</v>
      </c>
      <c r="AS184" s="6" t="str">
        <f>HYPERLINK("https://creighton-primo.hosted.exlibrisgroup.com/primo-explore/search?tab=default_tab&amp;search_scope=EVERYTHING&amp;vid=01CRU&amp;lang=en_US&amp;offset=0&amp;query=any,contains,991004182699702656","Catalog Record")</f>
        <v>Catalog Record</v>
      </c>
      <c r="AT184" s="6" t="str">
        <f>HYPERLINK("http://www.worldcat.org/oclc/1180941","WorldCat Record")</f>
        <v>WorldCat Record</v>
      </c>
      <c r="AU184" s="3" t="s">
        <v>2267</v>
      </c>
      <c r="AV184" s="3" t="s">
        <v>2268</v>
      </c>
      <c r="AW184" s="3" t="s">
        <v>2269</v>
      </c>
      <c r="AX184" s="3" t="s">
        <v>2269</v>
      </c>
      <c r="AY184" s="3" t="s">
        <v>2270</v>
      </c>
      <c r="AZ184" s="3" t="s">
        <v>75</v>
      </c>
      <c r="BC184" s="3" t="s">
        <v>2271</v>
      </c>
      <c r="BD184" s="3" t="s">
        <v>2272</v>
      </c>
    </row>
    <row r="185" spans="1:56" ht="44.25" customHeight="1" x14ac:dyDescent="0.25">
      <c r="A185" s="7" t="s">
        <v>61</v>
      </c>
      <c r="B185" s="2" t="s">
        <v>2260</v>
      </c>
      <c r="C185" s="2" t="s">
        <v>2261</v>
      </c>
      <c r="D185" s="2" t="s">
        <v>2262</v>
      </c>
      <c r="E185" s="3" t="s">
        <v>2273</v>
      </c>
      <c r="F185" s="3" t="s">
        <v>59</v>
      </c>
      <c r="G185" s="3" t="s">
        <v>60</v>
      </c>
      <c r="H185" s="3" t="s">
        <v>61</v>
      </c>
      <c r="I185" s="3" t="s">
        <v>61</v>
      </c>
      <c r="J185" s="3" t="s">
        <v>62</v>
      </c>
      <c r="K185" s="2" t="s">
        <v>2264</v>
      </c>
      <c r="L185" s="2" t="s">
        <v>2265</v>
      </c>
      <c r="M185" s="3" t="s">
        <v>144</v>
      </c>
      <c r="O185" s="3" t="s">
        <v>1715</v>
      </c>
      <c r="P185" s="3" t="s">
        <v>1716</v>
      </c>
      <c r="R185" s="3" t="s">
        <v>68</v>
      </c>
      <c r="S185" s="4">
        <v>1</v>
      </c>
      <c r="T185" s="4">
        <v>2</v>
      </c>
      <c r="U185" s="5" t="s">
        <v>2266</v>
      </c>
      <c r="V185" s="5" t="s">
        <v>2266</v>
      </c>
      <c r="W185" s="5" t="s">
        <v>2266</v>
      </c>
      <c r="X185" s="5" t="s">
        <v>2266</v>
      </c>
      <c r="Y185" s="4">
        <v>94</v>
      </c>
      <c r="Z185" s="4">
        <v>66</v>
      </c>
      <c r="AA185" s="4">
        <v>115</v>
      </c>
      <c r="AB185" s="4">
        <v>2</v>
      </c>
      <c r="AC185" s="4">
        <v>2</v>
      </c>
      <c r="AD185" s="4">
        <v>1</v>
      </c>
      <c r="AE185" s="4">
        <v>3</v>
      </c>
      <c r="AF185" s="4">
        <v>0</v>
      </c>
      <c r="AG185" s="4">
        <v>0</v>
      </c>
      <c r="AH185" s="4">
        <v>0</v>
      </c>
      <c r="AI185" s="4">
        <v>0</v>
      </c>
      <c r="AJ185" s="4">
        <v>0</v>
      </c>
      <c r="AK185" s="4">
        <v>2</v>
      </c>
      <c r="AL185" s="4">
        <v>1</v>
      </c>
      <c r="AM185" s="4">
        <v>1</v>
      </c>
      <c r="AN185" s="4">
        <v>0</v>
      </c>
      <c r="AO185" s="4">
        <v>0</v>
      </c>
      <c r="AP185" s="3" t="s">
        <v>59</v>
      </c>
      <c r="AQ185" s="3" t="s">
        <v>61</v>
      </c>
      <c r="AR185" s="6" t="str">
        <f>HYPERLINK("http://catalog.hathitrust.org/Record/000590877","HathiTrust Record")</f>
        <v>HathiTrust Record</v>
      </c>
      <c r="AS185" s="6" t="str">
        <f>HYPERLINK("https://creighton-primo.hosted.exlibrisgroup.com/primo-explore/search?tab=default_tab&amp;search_scope=EVERYTHING&amp;vid=01CRU&amp;lang=en_US&amp;offset=0&amp;query=any,contains,991004182699702656","Catalog Record")</f>
        <v>Catalog Record</v>
      </c>
      <c r="AT185" s="6" t="str">
        <f>HYPERLINK("http://www.worldcat.org/oclc/1180941","WorldCat Record")</f>
        <v>WorldCat Record</v>
      </c>
      <c r="AU185" s="3" t="s">
        <v>2267</v>
      </c>
      <c r="AV185" s="3" t="s">
        <v>2268</v>
      </c>
      <c r="AW185" s="3" t="s">
        <v>2269</v>
      </c>
      <c r="AX185" s="3" t="s">
        <v>2269</v>
      </c>
      <c r="AY185" s="3" t="s">
        <v>2270</v>
      </c>
      <c r="AZ185" s="3" t="s">
        <v>75</v>
      </c>
      <c r="BC185" s="3" t="s">
        <v>2274</v>
      </c>
      <c r="BD185" s="3" t="s">
        <v>2275</v>
      </c>
    </row>
    <row r="186" spans="1:56" ht="44.25" customHeight="1" x14ac:dyDescent="0.25">
      <c r="A186" s="7" t="s">
        <v>61</v>
      </c>
      <c r="B186" s="2" t="s">
        <v>2276</v>
      </c>
      <c r="C186" s="2" t="s">
        <v>2277</v>
      </c>
      <c r="D186" s="2" t="s">
        <v>2278</v>
      </c>
      <c r="F186" s="3" t="s">
        <v>61</v>
      </c>
      <c r="G186" s="3" t="s">
        <v>60</v>
      </c>
      <c r="H186" s="3" t="s">
        <v>61</v>
      </c>
      <c r="I186" s="3" t="s">
        <v>61</v>
      </c>
      <c r="J186" s="3" t="s">
        <v>62</v>
      </c>
      <c r="K186" s="2" t="s">
        <v>2279</v>
      </c>
      <c r="L186" s="2" t="s">
        <v>2280</v>
      </c>
      <c r="M186" s="3" t="s">
        <v>2281</v>
      </c>
      <c r="N186" s="2" t="s">
        <v>634</v>
      </c>
      <c r="O186" s="3" t="s">
        <v>114</v>
      </c>
      <c r="P186" s="3" t="s">
        <v>649</v>
      </c>
      <c r="R186" s="3" t="s">
        <v>68</v>
      </c>
      <c r="S186" s="4">
        <v>1</v>
      </c>
      <c r="T186" s="4">
        <v>1</v>
      </c>
      <c r="U186" s="5" t="s">
        <v>2282</v>
      </c>
      <c r="V186" s="5" t="s">
        <v>2282</v>
      </c>
      <c r="W186" s="5" t="s">
        <v>2283</v>
      </c>
      <c r="X186" s="5" t="s">
        <v>2283</v>
      </c>
      <c r="Y186" s="4">
        <v>517</v>
      </c>
      <c r="Z186" s="4">
        <v>405</v>
      </c>
      <c r="AA186" s="4">
        <v>411</v>
      </c>
      <c r="AB186" s="4">
        <v>3</v>
      </c>
      <c r="AC186" s="4">
        <v>3</v>
      </c>
      <c r="AD186" s="4">
        <v>21</v>
      </c>
      <c r="AE186" s="4">
        <v>21</v>
      </c>
      <c r="AF186" s="4">
        <v>4</v>
      </c>
      <c r="AG186" s="4">
        <v>4</v>
      </c>
      <c r="AH186" s="4">
        <v>6</v>
      </c>
      <c r="AI186" s="4">
        <v>6</v>
      </c>
      <c r="AJ186" s="4">
        <v>13</v>
      </c>
      <c r="AK186" s="4">
        <v>13</v>
      </c>
      <c r="AL186" s="4">
        <v>2</v>
      </c>
      <c r="AM186" s="4">
        <v>2</v>
      </c>
      <c r="AN186" s="4">
        <v>0</v>
      </c>
      <c r="AO186" s="4">
        <v>0</v>
      </c>
      <c r="AP186" s="3" t="s">
        <v>61</v>
      </c>
      <c r="AQ186" s="3" t="s">
        <v>59</v>
      </c>
      <c r="AR186" s="6" t="str">
        <f>HYPERLINK("http://catalog.hathitrust.org/Record/000253617","HathiTrust Record")</f>
        <v>HathiTrust Record</v>
      </c>
      <c r="AS186" s="6" t="str">
        <f>HYPERLINK("https://creighton-primo.hosted.exlibrisgroup.com/primo-explore/search?tab=default_tab&amp;search_scope=EVERYTHING&amp;vid=01CRU&amp;lang=en_US&amp;offset=0&amp;query=any,contains,991004335839702656","Catalog Record")</f>
        <v>Catalog Record</v>
      </c>
      <c r="AT186" s="6" t="str">
        <f>HYPERLINK("http://www.worldcat.org/oclc/3072760","WorldCat Record")</f>
        <v>WorldCat Record</v>
      </c>
      <c r="AU186" s="3" t="s">
        <v>2284</v>
      </c>
      <c r="AV186" s="3" t="s">
        <v>2285</v>
      </c>
      <c r="AW186" s="3" t="s">
        <v>2286</v>
      </c>
      <c r="AX186" s="3" t="s">
        <v>2286</v>
      </c>
      <c r="AY186" s="3" t="s">
        <v>2287</v>
      </c>
      <c r="AZ186" s="3" t="s">
        <v>75</v>
      </c>
      <c r="BB186" s="3" t="s">
        <v>2288</v>
      </c>
      <c r="BC186" s="3" t="s">
        <v>2289</v>
      </c>
      <c r="BD186" s="3" t="s">
        <v>2290</v>
      </c>
    </row>
    <row r="187" spans="1:56" ht="44.25" customHeight="1" x14ac:dyDescent="0.25">
      <c r="A187" s="7" t="s">
        <v>61</v>
      </c>
      <c r="B187" s="2" t="s">
        <v>2291</v>
      </c>
      <c r="C187" s="2" t="s">
        <v>2292</v>
      </c>
      <c r="D187" s="2" t="s">
        <v>2293</v>
      </c>
      <c r="F187" s="3" t="s">
        <v>61</v>
      </c>
      <c r="G187" s="3" t="s">
        <v>60</v>
      </c>
      <c r="H187" s="3" t="s">
        <v>61</v>
      </c>
      <c r="I187" s="3" t="s">
        <v>61</v>
      </c>
      <c r="J187" s="3" t="s">
        <v>62</v>
      </c>
      <c r="K187" s="2" t="s">
        <v>2294</v>
      </c>
      <c r="L187" s="2" t="s">
        <v>2295</v>
      </c>
      <c r="M187" s="3" t="s">
        <v>1870</v>
      </c>
      <c r="O187" s="3" t="s">
        <v>114</v>
      </c>
      <c r="P187" s="3" t="s">
        <v>235</v>
      </c>
      <c r="R187" s="3" t="s">
        <v>68</v>
      </c>
      <c r="S187" s="4">
        <v>1</v>
      </c>
      <c r="T187" s="4">
        <v>1</v>
      </c>
      <c r="U187" s="5" t="s">
        <v>2296</v>
      </c>
      <c r="V187" s="5" t="s">
        <v>2296</v>
      </c>
      <c r="W187" s="5" t="s">
        <v>2297</v>
      </c>
      <c r="X187" s="5" t="s">
        <v>2297</v>
      </c>
      <c r="Y187" s="4">
        <v>303</v>
      </c>
      <c r="Z187" s="4">
        <v>241</v>
      </c>
      <c r="AA187" s="4">
        <v>248</v>
      </c>
      <c r="AB187" s="4">
        <v>3</v>
      </c>
      <c r="AC187" s="4">
        <v>3</v>
      </c>
      <c r="AD187" s="4">
        <v>13</v>
      </c>
      <c r="AE187" s="4">
        <v>13</v>
      </c>
      <c r="AF187" s="4">
        <v>2</v>
      </c>
      <c r="AG187" s="4">
        <v>2</v>
      </c>
      <c r="AH187" s="4">
        <v>4</v>
      </c>
      <c r="AI187" s="4">
        <v>4</v>
      </c>
      <c r="AJ187" s="4">
        <v>9</v>
      </c>
      <c r="AK187" s="4">
        <v>9</v>
      </c>
      <c r="AL187" s="4">
        <v>2</v>
      </c>
      <c r="AM187" s="4">
        <v>2</v>
      </c>
      <c r="AN187" s="4">
        <v>0</v>
      </c>
      <c r="AO187" s="4">
        <v>0</v>
      </c>
      <c r="AP187" s="3" t="s">
        <v>61</v>
      </c>
      <c r="AQ187" s="3" t="s">
        <v>61</v>
      </c>
      <c r="AS187" s="6" t="str">
        <f>HYPERLINK("https://creighton-primo.hosted.exlibrisgroup.com/primo-explore/search?tab=default_tab&amp;search_scope=EVERYTHING&amp;vid=01CRU&amp;lang=en_US&amp;offset=0&amp;query=any,contains,991002333239702656","Catalog Record")</f>
        <v>Catalog Record</v>
      </c>
      <c r="AT187" s="6" t="str">
        <f>HYPERLINK("http://www.worldcat.org/oclc/30359295","WorldCat Record")</f>
        <v>WorldCat Record</v>
      </c>
      <c r="AU187" s="3" t="s">
        <v>2298</v>
      </c>
      <c r="AV187" s="3" t="s">
        <v>2299</v>
      </c>
      <c r="AW187" s="3" t="s">
        <v>2300</v>
      </c>
      <c r="AX187" s="3" t="s">
        <v>2300</v>
      </c>
      <c r="AY187" s="3" t="s">
        <v>2301</v>
      </c>
      <c r="AZ187" s="3" t="s">
        <v>75</v>
      </c>
      <c r="BB187" s="3" t="s">
        <v>2302</v>
      </c>
      <c r="BC187" s="3" t="s">
        <v>2303</v>
      </c>
      <c r="BD187" s="3" t="s">
        <v>2304</v>
      </c>
    </row>
    <row r="188" spans="1:56" ht="44.25" customHeight="1" x14ac:dyDescent="0.25">
      <c r="A188" s="7" t="s">
        <v>61</v>
      </c>
      <c r="B188" s="2" t="s">
        <v>2305</v>
      </c>
      <c r="C188" s="2" t="s">
        <v>2306</v>
      </c>
      <c r="D188" s="2" t="s">
        <v>2307</v>
      </c>
      <c r="F188" s="3" t="s">
        <v>61</v>
      </c>
      <c r="G188" s="3" t="s">
        <v>60</v>
      </c>
      <c r="H188" s="3" t="s">
        <v>61</v>
      </c>
      <c r="I188" s="3" t="s">
        <v>61</v>
      </c>
      <c r="J188" s="3" t="s">
        <v>62</v>
      </c>
      <c r="K188" s="2" t="s">
        <v>2308</v>
      </c>
      <c r="L188" s="2" t="s">
        <v>2309</v>
      </c>
      <c r="M188" s="3" t="s">
        <v>495</v>
      </c>
      <c r="O188" s="3" t="s">
        <v>114</v>
      </c>
      <c r="P188" s="3" t="s">
        <v>364</v>
      </c>
      <c r="R188" s="3" t="s">
        <v>68</v>
      </c>
      <c r="S188" s="4">
        <v>3</v>
      </c>
      <c r="T188" s="4">
        <v>3</v>
      </c>
      <c r="U188" s="5" t="s">
        <v>2310</v>
      </c>
      <c r="V188" s="5" t="s">
        <v>2310</v>
      </c>
      <c r="W188" s="5" t="s">
        <v>2311</v>
      </c>
      <c r="X188" s="5" t="s">
        <v>2311</v>
      </c>
      <c r="Y188" s="4">
        <v>281</v>
      </c>
      <c r="Z188" s="4">
        <v>206</v>
      </c>
      <c r="AA188" s="4">
        <v>207</v>
      </c>
      <c r="AB188" s="4">
        <v>2</v>
      </c>
      <c r="AC188" s="4">
        <v>2</v>
      </c>
      <c r="AD188" s="4">
        <v>17</v>
      </c>
      <c r="AE188" s="4">
        <v>17</v>
      </c>
      <c r="AF188" s="4">
        <v>4</v>
      </c>
      <c r="AG188" s="4">
        <v>4</v>
      </c>
      <c r="AH188" s="4">
        <v>5</v>
      </c>
      <c r="AI188" s="4">
        <v>5</v>
      </c>
      <c r="AJ188" s="4">
        <v>13</v>
      </c>
      <c r="AK188" s="4">
        <v>13</v>
      </c>
      <c r="AL188" s="4">
        <v>1</v>
      </c>
      <c r="AM188" s="4">
        <v>1</v>
      </c>
      <c r="AN188" s="4">
        <v>0</v>
      </c>
      <c r="AO188" s="4">
        <v>0</v>
      </c>
      <c r="AP188" s="3" t="s">
        <v>61</v>
      </c>
      <c r="AQ188" s="3" t="s">
        <v>59</v>
      </c>
      <c r="AR188" s="6" t="str">
        <f>HYPERLINK("http://catalog.hathitrust.org/Record/003133771","HathiTrust Record")</f>
        <v>HathiTrust Record</v>
      </c>
      <c r="AS188" s="6" t="str">
        <f>HYPERLINK("https://creighton-primo.hosted.exlibrisgroup.com/primo-explore/search?tab=default_tab&amp;search_scope=EVERYTHING&amp;vid=01CRU&amp;lang=en_US&amp;offset=0&amp;query=any,contains,991002701609702656","Catalog Record")</f>
        <v>Catalog Record</v>
      </c>
      <c r="AT188" s="6" t="str">
        <f>HYPERLINK("http://www.worldcat.org/oclc/35270049","WorldCat Record")</f>
        <v>WorldCat Record</v>
      </c>
      <c r="AU188" s="3" t="s">
        <v>2312</v>
      </c>
      <c r="AV188" s="3" t="s">
        <v>2313</v>
      </c>
      <c r="AW188" s="3" t="s">
        <v>2314</v>
      </c>
      <c r="AX188" s="3" t="s">
        <v>2314</v>
      </c>
      <c r="AY188" s="3" t="s">
        <v>2315</v>
      </c>
      <c r="AZ188" s="3" t="s">
        <v>75</v>
      </c>
      <c r="BB188" s="3" t="s">
        <v>2316</v>
      </c>
      <c r="BC188" s="3" t="s">
        <v>2317</v>
      </c>
      <c r="BD188" s="3" t="s">
        <v>2318</v>
      </c>
    </row>
    <row r="189" spans="1:56" ht="44.25" customHeight="1" x14ac:dyDescent="0.25">
      <c r="A189" s="7" t="s">
        <v>61</v>
      </c>
      <c r="B189" s="2" t="s">
        <v>2319</v>
      </c>
      <c r="C189" s="2" t="s">
        <v>2320</v>
      </c>
      <c r="D189" s="2" t="s">
        <v>2321</v>
      </c>
      <c r="F189" s="3" t="s">
        <v>61</v>
      </c>
      <c r="G189" s="3" t="s">
        <v>60</v>
      </c>
      <c r="H189" s="3" t="s">
        <v>61</v>
      </c>
      <c r="I189" s="3" t="s">
        <v>61</v>
      </c>
      <c r="J189" s="3" t="s">
        <v>62</v>
      </c>
      <c r="L189" s="2" t="s">
        <v>2322</v>
      </c>
      <c r="M189" s="3" t="s">
        <v>2323</v>
      </c>
      <c r="O189" s="3" t="s">
        <v>114</v>
      </c>
      <c r="P189" s="3" t="s">
        <v>192</v>
      </c>
      <c r="R189" s="3" t="s">
        <v>68</v>
      </c>
      <c r="S189" s="4">
        <v>1</v>
      </c>
      <c r="T189" s="4">
        <v>1</v>
      </c>
      <c r="U189" s="5" t="s">
        <v>2324</v>
      </c>
      <c r="V189" s="5" t="s">
        <v>2324</v>
      </c>
      <c r="W189" s="5" t="s">
        <v>2324</v>
      </c>
      <c r="X189" s="5" t="s">
        <v>2324</v>
      </c>
      <c r="Y189" s="4">
        <v>156</v>
      </c>
      <c r="Z189" s="4">
        <v>100</v>
      </c>
      <c r="AA189" s="4">
        <v>126</v>
      </c>
      <c r="AB189" s="4">
        <v>1</v>
      </c>
      <c r="AC189" s="4">
        <v>1</v>
      </c>
      <c r="AD189" s="4">
        <v>4</v>
      </c>
      <c r="AE189" s="4">
        <v>4</v>
      </c>
      <c r="AF189" s="4">
        <v>0</v>
      </c>
      <c r="AG189" s="4">
        <v>0</v>
      </c>
      <c r="AH189" s="4">
        <v>3</v>
      </c>
      <c r="AI189" s="4">
        <v>3</v>
      </c>
      <c r="AJ189" s="4">
        <v>3</v>
      </c>
      <c r="AK189" s="4">
        <v>3</v>
      </c>
      <c r="AL189" s="4">
        <v>0</v>
      </c>
      <c r="AM189" s="4">
        <v>0</v>
      </c>
      <c r="AN189" s="4">
        <v>0</v>
      </c>
      <c r="AO189" s="4">
        <v>0</v>
      </c>
      <c r="AP189" s="3" t="s">
        <v>61</v>
      </c>
      <c r="AQ189" s="3" t="s">
        <v>59</v>
      </c>
      <c r="AR189" s="6" t="str">
        <f>HYPERLINK("http://catalog.hathitrust.org/Record/004945826","HathiTrust Record")</f>
        <v>HathiTrust Record</v>
      </c>
      <c r="AS189" s="6" t="str">
        <f>HYPERLINK("https://creighton-primo.hosted.exlibrisgroup.com/primo-explore/search?tab=default_tab&amp;search_scope=EVERYTHING&amp;vid=01CRU&amp;lang=en_US&amp;offset=0&amp;query=any,contains,991004649589702656","Catalog Record")</f>
        <v>Catalog Record</v>
      </c>
      <c r="AT189" s="6" t="str">
        <f>HYPERLINK("http://www.worldcat.org/oclc/52575886","WorldCat Record")</f>
        <v>WorldCat Record</v>
      </c>
      <c r="AU189" s="3" t="s">
        <v>2325</v>
      </c>
      <c r="AV189" s="3" t="s">
        <v>2326</v>
      </c>
      <c r="AW189" s="3" t="s">
        <v>2327</v>
      </c>
      <c r="AX189" s="3" t="s">
        <v>2327</v>
      </c>
      <c r="AY189" s="3" t="s">
        <v>2328</v>
      </c>
      <c r="AZ189" s="3" t="s">
        <v>75</v>
      </c>
      <c r="BB189" s="3" t="s">
        <v>2329</v>
      </c>
      <c r="BC189" s="3" t="s">
        <v>2330</v>
      </c>
      <c r="BD189" s="3" t="s">
        <v>2331</v>
      </c>
    </row>
    <row r="190" spans="1:56" ht="44.25" customHeight="1" x14ac:dyDescent="0.25">
      <c r="A190" s="7" t="s">
        <v>61</v>
      </c>
      <c r="B190" s="2" t="s">
        <v>2332</v>
      </c>
      <c r="C190" s="2" t="s">
        <v>2333</v>
      </c>
      <c r="D190" s="2" t="s">
        <v>2334</v>
      </c>
      <c r="F190" s="3" t="s">
        <v>61</v>
      </c>
      <c r="G190" s="3" t="s">
        <v>60</v>
      </c>
      <c r="H190" s="3" t="s">
        <v>61</v>
      </c>
      <c r="I190" s="3" t="s">
        <v>59</v>
      </c>
      <c r="J190" s="3" t="s">
        <v>62</v>
      </c>
      <c r="K190" s="2" t="s">
        <v>2335</v>
      </c>
      <c r="L190" s="2" t="s">
        <v>2336</v>
      </c>
      <c r="M190" s="3" t="s">
        <v>2337</v>
      </c>
      <c r="N190" s="2" t="s">
        <v>2338</v>
      </c>
      <c r="O190" s="3" t="s">
        <v>114</v>
      </c>
      <c r="P190" s="3" t="s">
        <v>192</v>
      </c>
      <c r="Q190" s="2" t="s">
        <v>2339</v>
      </c>
      <c r="R190" s="3" t="s">
        <v>68</v>
      </c>
      <c r="S190" s="4">
        <v>2</v>
      </c>
      <c r="T190" s="4">
        <v>2</v>
      </c>
      <c r="U190" s="5" t="s">
        <v>2340</v>
      </c>
      <c r="V190" s="5" t="s">
        <v>2340</v>
      </c>
      <c r="W190" s="5" t="s">
        <v>2084</v>
      </c>
      <c r="X190" s="5" t="s">
        <v>2084</v>
      </c>
      <c r="Y190" s="4">
        <v>53</v>
      </c>
      <c r="Z190" s="4">
        <v>38</v>
      </c>
      <c r="AA190" s="4">
        <v>437</v>
      </c>
      <c r="AB190" s="4">
        <v>1</v>
      </c>
      <c r="AC190" s="4">
        <v>3</v>
      </c>
      <c r="AD190" s="4">
        <v>2</v>
      </c>
      <c r="AE190" s="4">
        <v>25</v>
      </c>
      <c r="AF190" s="4">
        <v>1</v>
      </c>
      <c r="AG190" s="4">
        <v>7</v>
      </c>
      <c r="AH190" s="4">
        <v>0</v>
      </c>
      <c r="AI190" s="4">
        <v>6</v>
      </c>
      <c r="AJ190" s="4">
        <v>1</v>
      </c>
      <c r="AK190" s="4">
        <v>16</v>
      </c>
      <c r="AL190" s="4">
        <v>0</v>
      </c>
      <c r="AM190" s="4">
        <v>2</v>
      </c>
      <c r="AN190" s="4">
        <v>0</v>
      </c>
      <c r="AO190" s="4">
        <v>0</v>
      </c>
      <c r="AP190" s="3" t="s">
        <v>59</v>
      </c>
      <c r="AQ190" s="3" t="s">
        <v>61</v>
      </c>
      <c r="AR190" s="6" t="str">
        <f>HYPERLINK("http://catalog.hathitrust.org/Record/008640864","HathiTrust Record")</f>
        <v>HathiTrust Record</v>
      </c>
      <c r="AS190" s="6" t="str">
        <f>HYPERLINK("https://creighton-primo.hosted.exlibrisgroup.com/primo-explore/search?tab=default_tab&amp;search_scope=EVERYTHING&amp;vid=01CRU&amp;lang=en_US&amp;offset=0&amp;query=any,contains,991000736909702656","Catalog Record")</f>
        <v>Catalog Record</v>
      </c>
      <c r="AT190" s="6" t="str">
        <f>HYPERLINK("http://www.worldcat.org/oclc/12796173","WorldCat Record")</f>
        <v>WorldCat Record</v>
      </c>
      <c r="AU190" s="3" t="s">
        <v>2341</v>
      </c>
      <c r="AV190" s="3" t="s">
        <v>2342</v>
      </c>
      <c r="AW190" s="3" t="s">
        <v>2343</v>
      </c>
      <c r="AX190" s="3" t="s">
        <v>2343</v>
      </c>
      <c r="AY190" s="3" t="s">
        <v>2344</v>
      </c>
      <c r="AZ190" s="3" t="s">
        <v>75</v>
      </c>
      <c r="BC190" s="3" t="s">
        <v>2345</v>
      </c>
      <c r="BD190" s="3" t="s">
        <v>2346</v>
      </c>
    </row>
    <row r="191" spans="1:56" ht="44.25" customHeight="1" x14ac:dyDescent="0.25">
      <c r="A191" s="7" t="s">
        <v>61</v>
      </c>
      <c r="B191" s="2" t="s">
        <v>2347</v>
      </c>
      <c r="C191" s="2" t="s">
        <v>2348</v>
      </c>
      <c r="D191" s="2" t="s">
        <v>2349</v>
      </c>
      <c r="F191" s="3" t="s">
        <v>61</v>
      </c>
      <c r="G191" s="3" t="s">
        <v>60</v>
      </c>
      <c r="H191" s="3" t="s">
        <v>61</v>
      </c>
      <c r="I191" s="3" t="s">
        <v>61</v>
      </c>
      <c r="J191" s="3" t="s">
        <v>62</v>
      </c>
      <c r="L191" s="2" t="s">
        <v>2350</v>
      </c>
      <c r="M191" s="3" t="s">
        <v>1758</v>
      </c>
      <c r="O191" s="3" t="s">
        <v>114</v>
      </c>
      <c r="P191" s="3" t="s">
        <v>2351</v>
      </c>
      <c r="R191" s="3" t="s">
        <v>68</v>
      </c>
      <c r="S191" s="4">
        <v>4</v>
      </c>
      <c r="T191" s="4">
        <v>4</v>
      </c>
      <c r="U191" s="5" t="s">
        <v>2352</v>
      </c>
      <c r="V191" s="5" t="s">
        <v>2352</v>
      </c>
      <c r="W191" s="5" t="s">
        <v>2353</v>
      </c>
      <c r="X191" s="5" t="s">
        <v>2353</v>
      </c>
      <c r="Y191" s="4">
        <v>491</v>
      </c>
      <c r="Z191" s="4">
        <v>379</v>
      </c>
      <c r="AA191" s="4">
        <v>385</v>
      </c>
      <c r="AB191" s="4">
        <v>4</v>
      </c>
      <c r="AC191" s="4">
        <v>4</v>
      </c>
      <c r="AD191" s="4">
        <v>18</v>
      </c>
      <c r="AE191" s="4">
        <v>18</v>
      </c>
      <c r="AF191" s="4">
        <v>6</v>
      </c>
      <c r="AG191" s="4">
        <v>6</v>
      </c>
      <c r="AH191" s="4">
        <v>4</v>
      </c>
      <c r="AI191" s="4">
        <v>4</v>
      </c>
      <c r="AJ191" s="4">
        <v>12</v>
      </c>
      <c r="AK191" s="4">
        <v>12</v>
      </c>
      <c r="AL191" s="4">
        <v>3</v>
      </c>
      <c r="AM191" s="4">
        <v>3</v>
      </c>
      <c r="AN191" s="4">
        <v>0</v>
      </c>
      <c r="AO191" s="4">
        <v>0</v>
      </c>
      <c r="AP191" s="3" t="s">
        <v>61</v>
      </c>
      <c r="AQ191" s="3" t="s">
        <v>59</v>
      </c>
      <c r="AR191" s="6" t="str">
        <f>HYPERLINK("http://catalog.hathitrust.org/Record/000261275","HathiTrust Record")</f>
        <v>HathiTrust Record</v>
      </c>
      <c r="AS191" s="6" t="str">
        <f>HYPERLINK("https://creighton-primo.hosted.exlibrisgroup.com/primo-explore/search?tab=default_tab&amp;search_scope=EVERYTHING&amp;vid=01CRU&amp;lang=en_US&amp;offset=0&amp;query=any,contains,991005394539702656","Catalog Record")</f>
        <v>Catalog Record</v>
      </c>
      <c r="AT191" s="6" t="str">
        <f>HYPERLINK("http://www.worldcat.org/oclc/8277904","WorldCat Record")</f>
        <v>WorldCat Record</v>
      </c>
      <c r="AU191" s="3" t="s">
        <v>2354</v>
      </c>
      <c r="AV191" s="3" t="s">
        <v>2355</v>
      </c>
      <c r="AW191" s="3" t="s">
        <v>2356</v>
      </c>
      <c r="AX191" s="3" t="s">
        <v>2356</v>
      </c>
      <c r="AY191" s="3" t="s">
        <v>2357</v>
      </c>
      <c r="AZ191" s="3" t="s">
        <v>75</v>
      </c>
      <c r="BB191" s="3" t="s">
        <v>2358</v>
      </c>
      <c r="BC191" s="3" t="s">
        <v>2359</v>
      </c>
      <c r="BD191" s="3" t="s">
        <v>2360</v>
      </c>
    </row>
    <row r="192" spans="1:56" ht="44.25" customHeight="1" x14ac:dyDescent="0.25">
      <c r="A192" s="7" t="s">
        <v>61</v>
      </c>
      <c r="B192" s="2" t="s">
        <v>2361</v>
      </c>
      <c r="C192" s="2" t="s">
        <v>2362</v>
      </c>
      <c r="D192" s="2" t="s">
        <v>2363</v>
      </c>
      <c r="F192" s="3" t="s">
        <v>61</v>
      </c>
      <c r="G192" s="3" t="s">
        <v>60</v>
      </c>
      <c r="H192" s="3" t="s">
        <v>61</v>
      </c>
      <c r="I192" s="3" t="s">
        <v>61</v>
      </c>
      <c r="J192" s="3" t="s">
        <v>62</v>
      </c>
      <c r="L192" s="2" t="s">
        <v>2364</v>
      </c>
      <c r="M192" s="3" t="s">
        <v>784</v>
      </c>
      <c r="O192" s="3" t="s">
        <v>114</v>
      </c>
      <c r="P192" s="3" t="s">
        <v>1007</v>
      </c>
      <c r="R192" s="3" t="s">
        <v>68</v>
      </c>
      <c r="S192" s="4">
        <v>1</v>
      </c>
      <c r="T192" s="4">
        <v>1</v>
      </c>
      <c r="U192" s="5" t="s">
        <v>2365</v>
      </c>
      <c r="V192" s="5" t="s">
        <v>2365</v>
      </c>
      <c r="W192" s="5" t="s">
        <v>2084</v>
      </c>
      <c r="X192" s="5" t="s">
        <v>2084</v>
      </c>
      <c r="Y192" s="4">
        <v>583</v>
      </c>
      <c r="Z192" s="4">
        <v>506</v>
      </c>
      <c r="AA192" s="4">
        <v>513</v>
      </c>
      <c r="AB192" s="4">
        <v>4</v>
      </c>
      <c r="AC192" s="4">
        <v>4</v>
      </c>
      <c r="AD192" s="4">
        <v>28</v>
      </c>
      <c r="AE192" s="4">
        <v>28</v>
      </c>
      <c r="AF192" s="4">
        <v>11</v>
      </c>
      <c r="AG192" s="4">
        <v>11</v>
      </c>
      <c r="AH192" s="4">
        <v>7</v>
      </c>
      <c r="AI192" s="4">
        <v>7</v>
      </c>
      <c r="AJ192" s="4">
        <v>16</v>
      </c>
      <c r="AK192" s="4">
        <v>16</v>
      </c>
      <c r="AL192" s="4">
        <v>3</v>
      </c>
      <c r="AM192" s="4">
        <v>3</v>
      </c>
      <c r="AN192" s="4">
        <v>0</v>
      </c>
      <c r="AO192" s="4">
        <v>0</v>
      </c>
      <c r="AP192" s="3" t="s">
        <v>61</v>
      </c>
      <c r="AQ192" s="3" t="s">
        <v>59</v>
      </c>
      <c r="AR192" s="6" t="str">
        <f>HYPERLINK("http://catalog.hathitrust.org/Record/000480012","HathiTrust Record")</f>
        <v>HathiTrust Record</v>
      </c>
      <c r="AS192" s="6" t="str">
        <f>HYPERLINK("https://creighton-primo.hosted.exlibrisgroup.com/primo-explore/search?tab=default_tab&amp;search_scope=EVERYTHING&amp;vid=01CRU&amp;lang=en_US&amp;offset=0&amp;query=any,contains,991002772269702656","Catalog Record")</f>
        <v>Catalog Record</v>
      </c>
      <c r="AT192" s="6" t="str">
        <f>HYPERLINK("http://www.worldcat.org/oclc/437489","WorldCat Record")</f>
        <v>WorldCat Record</v>
      </c>
      <c r="AU192" s="3" t="s">
        <v>2366</v>
      </c>
      <c r="AV192" s="3" t="s">
        <v>2367</v>
      </c>
      <c r="AW192" s="3" t="s">
        <v>2368</v>
      </c>
      <c r="AX192" s="3" t="s">
        <v>2368</v>
      </c>
      <c r="AY192" s="3" t="s">
        <v>2369</v>
      </c>
      <c r="AZ192" s="3" t="s">
        <v>75</v>
      </c>
      <c r="BC192" s="3" t="s">
        <v>2370</v>
      </c>
      <c r="BD192" s="3" t="s">
        <v>2371</v>
      </c>
    </row>
    <row r="193" spans="1:56" ht="44.25" customHeight="1" x14ac:dyDescent="0.25">
      <c r="A193" s="7" t="s">
        <v>61</v>
      </c>
      <c r="B193" s="2" t="s">
        <v>2372</v>
      </c>
      <c r="C193" s="2" t="s">
        <v>2373</v>
      </c>
      <c r="D193" s="2" t="s">
        <v>2374</v>
      </c>
      <c r="F193" s="3" t="s">
        <v>61</v>
      </c>
      <c r="G193" s="3" t="s">
        <v>60</v>
      </c>
      <c r="H193" s="3" t="s">
        <v>61</v>
      </c>
      <c r="I193" s="3" t="s">
        <v>61</v>
      </c>
      <c r="J193" s="3" t="s">
        <v>62</v>
      </c>
      <c r="K193" s="2" t="s">
        <v>2375</v>
      </c>
      <c r="L193" s="2" t="s">
        <v>2376</v>
      </c>
      <c r="M193" s="3" t="s">
        <v>707</v>
      </c>
      <c r="N193" s="2" t="s">
        <v>2377</v>
      </c>
      <c r="O193" s="3" t="s">
        <v>114</v>
      </c>
      <c r="P193" s="3" t="s">
        <v>192</v>
      </c>
      <c r="Q193" s="2" t="s">
        <v>2378</v>
      </c>
      <c r="R193" s="3" t="s">
        <v>68</v>
      </c>
      <c r="S193" s="4">
        <v>4</v>
      </c>
      <c r="T193" s="4">
        <v>4</v>
      </c>
      <c r="U193" s="5" t="s">
        <v>2379</v>
      </c>
      <c r="V193" s="5" t="s">
        <v>2379</v>
      </c>
      <c r="W193" s="5" t="s">
        <v>1844</v>
      </c>
      <c r="X193" s="5" t="s">
        <v>1844</v>
      </c>
      <c r="Y193" s="4">
        <v>270</v>
      </c>
      <c r="Z193" s="4">
        <v>154</v>
      </c>
      <c r="AA193" s="4">
        <v>684</v>
      </c>
      <c r="AB193" s="4">
        <v>2</v>
      </c>
      <c r="AC193" s="4">
        <v>3</v>
      </c>
      <c r="AD193" s="4">
        <v>8</v>
      </c>
      <c r="AE193" s="4">
        <v>38</v>
      </c>
      <c r="AF193" s="4">
        <v>4</v>
      </c>
      <c r="AG193" s="4">
        <v>17</v>
      </c>
      <c r="AH193" s="4">
        <v>1</v>
      </c>
      <c r="AI193" s="4">
        <v>6</v>
      </c>
      <c r="AJ193" s="4">
        <v>4</v>
      </c>
      <c r="AK193" s="4">
        <v>23</v>
      </c>
      <c r="AL193" s="4">
        <v>1</v>
      </c>
      <c r="AM193" s="4">
        <v>2</v>
      </c>
      <c r="AN193" s="4">
        <v>0</v>
      </c>
      <c r="AO193" s="4">
        <v>0</v>
      </c>
      <c r="AP193" s="3" t="s">
        <v>61</v>
      </c>
      <c r="AQ193" s="3" t="s">
        <v>59</v>
      </c>
      <c r="AR193" s="6" t="str">
        <f>HYPERLINK("http://catalog.hathitrust.org/Record/006227451","HathiTrust Record")</f>
        <v>HathiTrust Record</v>
      </c>
      <c r="AS193" s="6" t="str">
        <f>HYPERLINK("https://creighton-primo.hosted.exlibrisgroup.com/primo-explore/search?tab=default_tab&amp;search_scope=EVERYTHING&amp;vid=01CRU&amp;lang=en_US&amp;offset=0&amp;query=any,contains,991004763419702656","Catalog Record")</f>
        <v>Catalog Record</v>
      </c>
      <c r="AT193" s="6" t="str">
        <f>HYPERLINK("http://www.worldcat.org/oclc/5015307","WorldCat Record")</f>
        <v>WorldCat Record</v>
      </c>
      <c r="AU193" s="3" t="s">
        <v>2380</v>
      </c>
      <c r="AV193" s="3" t="s">
        <v>2381</v>
      </c>
      <c r="AW193" s="3" t="s">
        <v>2382</v>
      </c>
      <c r="AX193" s="3" t="s">
        <v>2382</v>
      </c>
      <c r="AY193" s="3" t="s">
        <v>2383</v>
      </c>
      <c r="AZ193" s="3" t="s">
        <v>75</v>
      </c>
      <c r="BC193" s="3" t="s">
        <v>2384</v>
      </c>
      <c r="BD193" s="3" t="s">
        <v>2385</v>
      </c>
    </row>
    <row r="194" spans="1:56" ht="44.25" customHeight="1" x14ac:dyDescent="0.25">
      <c r="A194" s="7" t="s">
        <v>61</v>
      </c>
      <c r="B194" s="2" t="s">
        <v>2386</v>
      </c>
      <c r="C194" s="2" t="s">
        <v>2387</v>
      </c>
      <c r="D194" s="2" t="s">
        <v>2388</v>
      </c>
      <c r="F194" s="3" t="s">
        <v>61</v>
      </c>
      <c r="G194" s="3" t="s">
        <v>60</v>
      </c>
      <c r="H194" s="3" t="s">
        <v>61</v>
      </c>
      <c r="I194" s="3" t="s">
        <v>61</v>
      </c>
      <c r="J194" s="3" t="s">
        <v>62</v>
      </c>
      <c r="K194" s="2" t="s">
        <v>2389</v>
      </c>
      <c r="L194" s="2" t="s">
        <v>2390</v>
      </c>
      <c r="M194" s="3" t="s">
        <v>2391</v>
      </c>
      <c r="O194" s="3" t="s">
        <v>1715</v>
      </c>
      <c r="P194" s="3" t="s">
        <v>1716</v>
      </c>
      <c r="Q194" s="2" t="s">
        <v>2392</v>
      </c>
      <c r="R194" s="3" t="s">
        <v>68</v>
      </c>
      <c r="S194" s="4">
        <v>1</v>
      </c>
      <c r="T194" s="4">
        <v>1</v>
      </c>
      <c r="U194" s="5" t="s">
        <v>2393</v>
      </c>
      <c r="V194" s="5" t="s">
        <v>2393</v>
      </c>
      <c r="W194" s="5" t="s">
        <v>2393</v>
      </c>
      <c r="X194" s="5" t="s">
        <v>2393</v>
      </c>
      <c r="Y194" s="4">
        <v>85</v>
      </c>
      <c r="Z194" s="4">
        <v>29</v>
      </c>
      <c r="AA194" s="4">
        <v>32</v>
      </c>
      <c r="AB194" s="4">
        <v>1</v>
      </c>
      <c r="AC194" s="4">
        <v>1</v>
      </c>
      <c r="AD194" s="4">
        <v>1</v>
      </c>
      <c r="AE194" s="4">
        <v>1</v>
      </c>
      <c r="AF194" s="4">
        <v>0</v>
      </c>
      <c r="AG194" s="4">
        <v>0</v>
      </c>
      <c r="AH194" s="4">
        <v>1</v>
      </c>
      <c r="AI194" s="4">
        <v>1</v>
      </c>
      <c r="AJ194" s="4">
        <v>1</v>
      </c>
      <c r="AK194" s="4">
        <v>1</v>
      </c>
      <c r="AL194" s="4">
        <v>0</v>
      </c>
      <c r="AM194" s="4">
        <v>0</v>
      </c>
      <c r="AN194" s="4">
        <v>0</v>
      </c>
      <c r="AO194" s="4">
        <v>0</v>
      </c>
      <c r="AP194" s="3" t="s">
        <v>61</v>
      </c>
      <c r="AQ194" s="3" t="s">
        <v>61</v>
      </c>
      <c r="AS194" s="6" t="str">
        <f>HYPERLINK("https://creighton-primo.hosted.exlibrisgroup.com/primo-explore/search?tab=default_tab&amp;search_scope=EVERYTHING&amp;vid=01CRU&amp;lang=en_US&amp;offset=0&amp;query=any,contains,991004032839702656","Catalog Record")</f>
        <v>Catalog Record</v>
      </c>
      <c r="AT194" s="6" t="str">
        <f>HYPERLINK("http://www.worldcat.org/oclc/46930593","WorldCat Record")</f>
        <v>WorldCat Record</v>
      </c>
      <c r="AU194" s="3" t="s">
        <v>2394</v>
      </c>
      <c r="AV194" s="3" t="s">
        <v>2395</v>
      </c>
      <c r="AW194" s="3" t="s">
        <v>2396</v>
      </c>
      <c r="AX194" s="3" t="s">
        <v>2396</v>
      </c>
      <c r="AY194" s="3" t="s">
        <v>2397</v>
      </c>
      <c r="AZ194" s="3" t="s">
        <v>75</v>
      </c>
      <c r="BB194" s="3" t="s">
        <v>2398</v>
      </c>
      <c r="BC194" s="3" t="s">
        <v>2399</v>
      </c>
      <c r="BD194" s="3" t="s">
        <v>2400</v>
      </c>
    </row>
    <row r="195" spans="1:56" ht="44.25" customHeight="1" x14ac:dyDescent="0.25">
      <c r="A195" s="7" t="s">
        <v>61</v>
      </c>
      <c r="B195" s="2" t="s">
        <v>2401</v>
      </c>
      <c r="C195" s="2" t="s">
        <v>2402</v>
      </c>
      <c r="D195" s="2" t="s">
        <v>2403</v>
      </c>
      <c r="F195" s="3" t="s">
        <v>61</v>
      </c>
      <c r="G195" s="3" t="s">
        <v>60</v>
      </c>
      <c r="H195" s="3" t="s">
        <v>61</v>
      </c>
      <c r="I195" s="3" t="s">
        <v>61</v>
      </c>
      <c r="J195" s="3" t="s">
        <v>62</v>
      </c>
      <c r="K195" s="2" t="s">
        <v>2404</v>
      </c>
      <c r="L195" s="2" t="s">
        <v>2405</v>
      </c>
      <c r="M195" s="3" t="s">
        <v>755</v>
      </c>
      <c r="O195" s="3" t="s">
        <v>114</v>
      </c>
      <c r="P195" s="3" t="s">
        <v>649</v>
      </c>
      <c r="R195" s="3" t="s">
        <v>68</v>
      </c>
      <c r="S195" s="4">
        <v>1</v>
      </c>
      <c r="T195" s="4">
        <v>1</v>
      </c>
      <c r="U195" s="5" t="s">
        <v>2406</v>
      </c>
      <c r="V195" s="5" t="s">
        <v>2406</v>
      </c>
      <c r="W195" s="5" t="s">
        <v>2407</v>
      </c>
      <c r="X195" s="5" t="s">
        <v>2407</v>
      </c>
      <c r="Y195" s="4">
        <v>224</v>
      </c>
      <c r="Z195" s="4">
        <v>196</v>
      </c>
      <c r="AA195" s="4">
        <v>399</v>
      </c>
      <c r="AB195" s="4">
        <v>3</v>
      </c>
      <c r="AC195" s="4">
        <v>4</v>
      </c>
      <c r="AD195" s="4">
        <v>8</v>
      </c>
      <c r="AE195" s="4">
        <v>24</v>
      </c>
      <c r="AF195" s="4">
        <v>3</v>
      </c>
      <c r="AG195" s="4">
        <v>7</v>
      </c>
      <c r="AH195" s="4">
        <v>1</v>
      </c>
      <c r="AI195" s="4">
        <v>5</v>
      </c>
      <c r="AJ195" s="4">
        <v>4</v>
      </c>
      <c r="AK195" s="4">
        <v>15</v>
      </c>
      <c r="AL195" s="4">
        <v>2</v>
      </c>
      <c r="AM195" s="4">
        <v>3</v>
      </c>
      <c r="AN195" s="4">
        <v>0</v>
      </c>
      <c r="AO195" s="4">
        <v>0</v>
      </c>
      <c r="AP195" s="3" t="s">
        <v>61</v>
      </c>
      <c r="AQ195" s="3" t="s">
        <v>61</v>
      </c>
      <c r="AS195" s="6" t="str">
        <f>HYPERLINK("https://creighton-primo.hosted.exlibrisgroup.com/primo-explore/search?tab=default_tab&amp;search_scope=EVERYTHING&amp;vid=01CRU&amp;lang=en_US&amp;offset=0&amp;query=any,contains,991000826599702656","Catalog Record")</f>
        <v>Catalog Record</v>
      </c>
      <c r="AT195" s="6" t="str">
        <f>HYPERLINK("http://www.worldcat.org/oclc/146283","WorldCat Record")</f>
        <v>WorldCat Record</v>
      </c>
      <c r="AU195" s="3" t="s">
        <v>2408</v>
      </c>
      <c r="AV195" s="3" t="s">
        <v>2409</v>
      </c>
      <c r="AW195" s="3" t="s">
        <v>2410</v>
      </c>
      <c r="AX195" s="3" t="s">
        <v>2410</v>
      </c>
      <c r="AY195" s="3" t="s">
        <v>2411</v>
      </c>
      <c r="AZ195" s="3" t="s">
        <v>75</v>
      </c>
      <c r="BB195" s="3" t="s">
        <v>2412</v>
      </c>
      <c r="BC195" s="3" t="s">
        <v>2413</v>
      </c>
      <c r="BD195" s="3" t="s">
        <v>2414</v>
      </c>
    </row>
    <row r="196" spans="1:56" ht="44.25" customHeight="1" x14ac:dyDescent="0.25">
      <c r="A196" s="7" t="s">
        <v>61</v>
      </c>
      <c r="B196" s="2" t="s">
        <v>2415</v>
      </c>
      <c r="C196" s="2" t="s">
        <v>2416</v>
      </c>
      <c r="D196" s="2" t="s">
        <v>2417</v>
      </c>
      <c r="F196" s="3" t="s">
        <v>61</v>
      </c>
      <c r="G196" s="3" t="s">
        <v>60</v>
      </c>
      <c r="H196" s="3" t="s">
        <v>61</v>
      </c>
      <c r="I196" s="3" t="s">
        <v>61</v>
      </c>
      <c r="J196" s="3" t="s">
        <v>62</v>
      </c>
      <c r="K196" s="2" t="s">
        <v>2418</v>
      </c>
      <c r="L196" s="2" t="s">
        <v>2419</v>
      </c>
      <c r="M196" s="3" t="s">
        <v>1211</v>
      </c>
      <c r="O196" s="3" t="s">
        <v>114</v>
      </c>
      <c r="P196" s="3" t="s">
        <v>235</v>
      </c>
      <c r="R196" s="3" t="s">
        <v>68</v>
      </c>
      <c r="S196" s="4">
        <v>1</v>
      </c>
      <c r="T196" s="4">
        <v>1</v>
      </c>
      <c r="U196" s="5" t="s">
        <v>2420</v>
      </c>
      <c r="V196" s="5" t="s">
        <v>2420</v>
      </c>
      <c r="W196" s="5" t="s">
        <v>2084</v>
      </c>
      <c r="X196" s="5" t="s">
        <v>2084</v>
      </c>
      <c r="Y196" s="4">
        <v>117</v>
      </c>
      <c r="Z196" s="4">
        <v>97</v>
      </c>
      <c r="AA196" s="4">
        <v>335</v>
      </c>
      <c r="AB196" s="4">
        <v>1</v>
      </c>
      <c r="AC196" s="4">
        <v>3</v>
      </c>
      <c r="AD196" s="4">
        <v>3</v>
      </c>
      <c r="AE196" s="4">
        <v>15</v>
      </c>
      <c r="AF196" s="4">
        <v>2</v>
      </c>
      <c r="AG196" s="4">
        <v>3</v>
      </c>
      <c r="AH196" s="4">
        <v>1</v>
      </c>
      <c r="AI196" s="4">
        <v>4</v>
      </c>
      <c r="AJ196" s="4">
        <v>2</v>
      </c>
      <c r="AK196" s="4">
        <v>12</v>
      </c>
      <c r="AL196" s="4">
        <v>0</v>
      </c>
      <c r="AM196" s="4">
        <v>1</v>
      </c>
      <c r="AN196" s="4">
        <v>0</v>
      </c>
      <c r="AO196" s="4">
        <v>0</v>
      </c>
      <c r="AP196" s="3" t="s">
        <v>61</v>
      </c>
      <c r="AQ196" s="3" t="s">
        <v>61</v>
      </c>
      <c r="AS196" s="6" t="str">
        <f>HYPERLINK("https://creighton-primo.hosted.exlibrisgroup.com/primo-explore/search?tab=default_tab&amp;search_scope=EVERYTHING&amp;vid=01CRU&amp;lang=en_US&amp;offset=0&amp;query=any,contains,991002886109702656","Catalog Record")</f>
        <v>Catalog Record</v>
      </c>
      <c r="AT196" s="6" t="str">
        <f>HYPERLINK("http://www.worldcat.org/oclc/508419","WorldCat Record")</f>
        <v>WorldCat Record</v>
      </c>
      <c r="AU196" s="3" t="s">
        <v>2421</v>
      </c>
      <c r="AV196" s="3" t="s">
        <v>2422</v>
      </c>
      <c r="AW196" s="3" t="s">
        <v>2423</v>
      </c>
      <c r="AX196" s="3" t="s">
        <v>2423</v>
      </c>
      <c r="AY196" s="3" t="s">
        <v>2424</v>
      </c>
      <c r="AZ196" s="3" t="s">
        <v>75</v>
      </c>
      <c r="BB196" s="3" t="s">
        <v>2425</v>
      </c>
      <c r="BC196" s="3" t="s">
        <v>2426</v>
      </c>
      <c r="BD196" s="3" t="s">
        <v>2427</v>
      </c>
    </row>
    <row r="197" spans="1:56" ht="44.25" customHeight="1" x14ac:dyDescent="0.25">
      <c r="A197" s="7" t="s">
        <v>61</v>
      </c>
      <c r="B197" s="2" t="s">
        <v>2428</v>
      </c>
      <c r="C197" s="2" t="s">
        <v>2429</v>
      </c>
      <c r="D197" s="2" t="s">
        <v>2430</v>
      </c>
      <c r="F197" s="3" t="s">
        <v>61</v>
      </c>
      <c r="G197" s="3" t="s">
        <v>60</v>
      </c>
      <c r="H197" s="3" t="s">
        <v>61</v>
      </c>
      <c r="I197" s="3" t="s">
        <v>61</v>
      </c>
      <c r="J197" s="3" t="s">
        <v>62</v>
      </c>
      <c r="L197" s="2" t="s">
        <v>2431</v>
      </c>
      <c r="M197" s="3" t="s">
        <v>1870</v>
      </c>
      <c r="O197" s="3" t="s">
        <v>114</v>
      </c>
      <c r="P197" s="3" t="s">
        <v>2432</v>
      </c>
      <c r="R197" s="3" t="s">
        <v>68</v>
      </c>
      <c r="S197" s="4">
        <v>3</v>
      </c>
      <c r="T197" s="4">
        <v>3</v>
      </c>
      <c r="U197" s="5" t="s">
        <v>2433</v>
      </c>
      <c r="V197" s="5" t="s">
        <v>2433</v>
      </c>
      <c r="W197" s="5" t="s">
        <v>2434</v>
      </c>
      <c r="X197" s="5" t="s">
        <v>2434</v>
      </c>
      <c r="Y197" s="4">
        <v>335</v>
      </c>
      <c r="Z197" s="4">
        <v>267</v>
      </c>
      <c r="AA197" s="4">
        <v>268</v>
      </c>
      <c r="AB197" s="4">
        <v>3</v>
      </c>
      <c r="AC197" s="4">
        <v>3</v>
      </c>
      <c r="AD197" s="4">
        <v>17</v>
      </c>
      <c r="AE197" s="4">
        <v>17</v>
      </c>
      <c r="AF197" s="4">
        <v>5</v>
      </c>
      <c r="AG197" s="4">
        <v>5</v>
      </c>
      <c r="AH197" s="4">
        <v>5</v>
      </c>
      <c r="AI197" s="4">
        <v>5</v>
      </c>
      <c r="AJ197" s="4">
        <v>8</v>
      </c>
      <c r="AK197" s="4">
        <v>8</v>
      </c>
      <c r="AL197" s="4">
        <v>2</v>
      </c>
      <c r="AM197" s="4">
        <v>2</v>
      </c>
      <c r="AN197" s="4">
        <v>0</v>
      </c>
      <c r="AO197" s="4">
        <v>0</v>
      </c>
      <c r="AP197" s="3" t="s">
        <v>61</v>
      </c>
      <c r="AQ197" s="3" t="s">
        <v>59</v>
      </c>
      <c r="AR197" s="6" t="str">
        <f>HYPERLINK("http://catalog.hathitrust.org/Record/002896206","HathiTrust Record")</f>
        <v>HathiTrust Record</v>
      </c>
      <c r="AS197" s="6" t="str">
        <f>HYPERLINK("https://creighton-primo.hosted.exlibrisgroup.com/primo-explore/search?tab=default_tab&amp;search_scope=EVERYTHING&amp;vid=01CRU&amp;lang=en_US&amp;offset=0&amp;query=any,contains,991002322269702656","Catalog Record")</f>
        <v>Catalog Record</v>
      </c>
      <c r="AT197" s="6" t="str">
        <f>HYPERLINK("http://www.worldcat.org/oclc/30110883","WorldCat Record")</f>
        <v>WorldCat Record</v>
      </c>
      <c r="AU197" s="3" t="s">
        <v>2435</v>
      </c>
      <c r="AV197" s="3" t="s">
        <v>2436</v>
      </c>
      <c r="AW197" s="3" t="s">
        <v>2437</v>
      </c>
      <c r="AX197" s="3" t="s">
        <v>2437</v>
      </c>
      <c r="AY197" s="3" t="s">
        <v>2438</v>
      </c>
      <c r="AZ197" s="3" t="s">
        <v>75</v>
      </c>
      <c r="BB197" s="3" t="s">
        <v>2439</v>
      </c>
      <c r="BC197" s="3" t="s">
        <v>2440</v>
      </c>
      <c r="BD197" s="3" t="s">
        <v>2441</v>
      </c>
    </row>
    <row r="198" spans="1:56" ht="44.25" customHeight="1" x14ac:dyDescent="0.25">
      <c r="A198" s="7" t="s">
        <v>61</v>
      </c>
      <c r="B198" s="2" t="s">
        <v>2442</v>
      </c>
      <c r="C198" s="2" t="s">
        <v>2443</v>
      </c>
      <c r="D198" s="2" t="s">
        <v>2444</v>
      </c>
      <c r="F198" s="3" t="s">
        <v>61</v>
      </c>
      <c r="G198" s="3" t="s">
        <v>60</v>
      </c>
      <c r="H198" s="3" t="s">
        <v>61</v>
      </c>
      <c r="I198" s="3" t="s">
        <v>61</v>
      </c>
      <c r="J198" s="3" t="s">
        <v>62</v>
      </c>
      <c r="K198" s="2" t="s">
        <v>2445</v>
      </c>
      <c r="L198" s="2" t="s">
        <v>2446</v>
      </c>
      <c r="M198" s="3" t="s">
        <v>755</v>
      </c>
      <c r="O198" s="3" t="s">
        <v>114</v>
      </c>
      <c r="P198" s="3" t="s">
        <v>649</v>
      </c>
      <c r="R198" s="3" t="s">
        <v>68</v>
      </c>
      <c r="S198" s="4">
        <v>3</v>
      </c>
      <c r="T198" s="4">
        <v>3</v>
      </c>
      <c r="U198" s="5" t="s">
        <v>771</v>
      </c>
      <c r="V198" s="5" t="s">
        <v>771</v>
      </c>
      <c r="W198" s="5" t="s">
        <v>2447</v>
      </c>
      <c r="X198" s="5" t="s">
        <v>2447</v>
      </c>
      <c r="Y198" s="4">
        <v>184</v>
      </c>
      <c r="Z198" s="4">
        <v>152</v>
      </c>
      <c r="AA198" s="4">
        <v>427</v>
      </c>
      <c r="AB198" s="4">
        <v>1</v>
      </c>
      <c r="AC198" s="4">
        <v>3</v>
      </c>
      <c r="AD198" s="4">
        <v>7</v>
      </c>
      <c r="AE198" s="4">
        <v>20</v>
      </c>
      <c r="AF198" s="4">
        <v>2</v>
      </c>
      <c r="AG198" s="4">
        <v>8</v>
      </c>
      <c r="AH198" s="4">
        <v>2</v>
      </c>
      <c r="AI198" s="4">
        <v>3</v>
      </c>
      <c r="AJ198" s="4">
        <v>6</v>
      </c>
      <c r="AK198" s="4">
        <v>13</v>
      </c>
      <c r="AL198" s="4">
        <v>0</v>
      </c>
      <c r="AM198" s="4">
        <v>2</v>
      </c>
      <c r="AN198" s="4">
        <v>0</v>
      </c>
      <c r="AO198" s="4">
        <v>0</v>
      </c>
      <c r="AP198" s="3" t="s">
        <v>61</v>
      </c>
      <c r="AQ198" s="3" t="s">
        <v>59</v>
      </c>
      <c r="AR198" s="6" t="str">
        <f>HYPERLINK("http://catalog.hathitrust.org/Record/006030317","HathiTrust Record")</f>
        <v>HathiTrust Record</v>
      </c>
      <c r="AS198" s="6" t="str">
        <f>HYPERLINK("https://creighton-primo.hosted.exlibrisgroup.com/primo-explore/search?tab=default_tab&amp;search_scope=EVERYTHING&amp;vid=01CRU&amp;lang=en_US&amp;offset=0&amp;query=any,contains,991000778329702656","Catalog Record")</f>
        <v>Catalog Record</v>
      </c>
      <c r="AT198" s="6" t="str">
        <f>HYPERLINK("http://www.worldcat.org/oclc/134068","WorldCat Record")</f>
        <v>WorldCat Record</v>
      </c>
      <c r="AU198" s="3" t="s">
        <v>2448</v>
      </c>
      <c r="AV198" s="3" t="s">
        <v>2449</v>
      </c>
      <c r="AW198" s="3" t="s">
        <v>2450</v>
      </c>
      <c r="AX198" s="3" t="s">
        <v>2450</v>
      </c>
      <c r="AY198" s="3" t="s">
        <v>2451</v>
      </c>
      <c r="AZ198" s="3" t="s">
        <v>75</v>
      </c>
      <c r="BB198" s="3" t="s">
        <v>2452</v>
      </c>
      <c r="BC198" s="3" t="s">
        <v>2453</v>
      </c>
      <c r="BD198" s="3" t="s">
        <v>2454</v>
      </c>
    </row>
    <row r="199" spans="1:56" ht="44.25" customHeight="1" x14ac:dyDescent="0.25">
      <c r="A199" s="7" t="s">
        <v>61</v>
      </c>
      <c r="B199" s="2" t="s">
        <v>2455</v>
      </c>
      <c r="C199" s="2" t="s">
        <v>2456</v>
      </c>
      <c r="D199" s="2" t="s">
        <v>2457</v>
      </c>
      <c r="F199" s="3" t="s">
        <v>61</v>
      </c>
      <c r="G199" s="3" t="s">
        <v>60</v>
      </c>
      <c r="H199" s="3" t="s">
        <v>61</v>
      </c>
      <c r="I199" s="3" t="s">
        <v>61</v>
      </c>
      <c r="J199" s="3" t="s">
        <v>62</v>
      </c>
      <c r="L199" s="2" t="s">
        <v>2458</v>
      </c>
      <c r="M199" s="3" t="s">
        <v>249</v>
      </c>
      <c r="O199" s="3" t="s">
        <v>114</v>
      </c>
      <c r="P199" s="3" t="s">
        <v>335</v>
      </c>
      <c r="Q199" s="2" t="s">
        <v>2459</v>
      </c>
      <c r="R199" s="3" t="s">
        <v>68</v>
      </c>
      <c r="S199" s="4">
        <v>2</v>
      </c>
      <c r="T199" s="4">
        <v>2</v>
      </c>
      <c r="U199" s="5" t="s">
        <v>2460</v>
      </c>
      <c r="V199" s="5" t="s">
        <v>2460</v>
      </c>
      <c r="W199" s="5" t="s">
        <v>2461</v>
      </c>
      <c r="X199" s="5" t="s">
        <v>2461</v>
      </c>
      <c r="Y199" s="4">
        <v>335</v>
      </c>
      <c r="Z199" s="4">
        <v>237</v>
      </c>
      <c r="AA199" s="4">
        <v>401</v>
      </c>
      <c r="AB199" s="4">
        <v>3</v>
      </c>
      <c r="AC199" s="4">
        <v>4</v>
      </c>
      <c r="AD199" s="4">
        <v>11</v>
      </c>
      <c r="AE199" s="4">
        <v>21</v>
      </c>
      <c r="AF199" s="4">
        <v>1</v>
      </c>
      <c r="AG199" s="4">
        <v>6</v>
      </c>
      <c r="AH199" s="4">
        <v>4</v>
      </c>
      <c r="AI199" s="4">
        <v>9</v>
      </c>
      <c r="AJ199" s="4">
        <v>6</v>
      </c>
      <c r="AK199" s="4">
        <v>8</v>
      </c>
      <c r="AL199" s="4">
        <v>2</v>
      </c>
      <c r="AM199" s="4">
        <v>3</v>
      </c>
      <c r="AN199" s="4">
        <v>0</v>
      </c>
      <c r="AO199" s="4">
        <v>0</v>
      </c>
      <c r="AP199" s="3" t="s">
        <v>61</v>
      </c>
      <c r="AQ199" s="3" t="s">
        <v>59</v>
      </c>
      <c r="AR199" s="6" t="str">
        <f>HYPERLINK("http://catalog.hathitrust.org/Record/002801776","HathiTrust Record")</f>
        <v>HathiTrust Record</v>
      </c>
      <c r="AS199" s="6" t="str">
        <f>HYPERLINK("https://creighton-primo.hosted.exlibrisgroup.com/primo-explore/search?tab=default_tab&amp;search_scope=EVERYTHING&amp;vid=01CRU&amp;lang=en_US&amp;offset=0&amp;query=any,contains,991002193879702656","Catalog Record")</f>
        <v>Catalog Record</v>
      </c>
      <c r="AT199" s="6" t="str">
        <f>HYPERLINK("http://www.worldcat.org/oclc/28214094","WorldCat Record")</f>
        <v>WorldCat Record</v>
      </c>
      <c r="AU199" s="3" t="s">
        <v>2462</v>
      </c>
      <c r="AV199" s="3" t="s">
        <v>2463</v>
      </c>
      <c r="AW199" s="3" t="s">
        <v>2464</v>
      </c>
      <c r="AX199" s="3" t="s">
        <v>2464</v>
      </c>
      <c r="AY199" s="3" t="s">
        <v>2465</v>
      </c>
      <c r="AZ199" s="3" t="s">
        <v>75</v>
      </c>
      <c r="BB199" s="3" t="s">
        <v>2466</v>
      </c>
      <c r="BC199" s="3" t="s">
        <v>2467</v>
      </c>
      <c r="BD199" s="3" t="s">
        <v>2468</v>
      </c>
    </row>
    <row r="200" spans="1:56" ht="44.25" customHeight="1" x14ac:dyDescent="0.25">
      <c r="A200" s="7" t="s">
        <v>61</v>
      </c>
      <c r="B200" s="2" t="s">
        <v>2469</v>
      </c>
      <c r="C200" s="2" t="s">
        <v>2470</v>
      </c>
      <c r="D200" s="2" t="s">
        <v>2471</v>
      </c>
      <c r="F200" s="3" t="s">
        <v>61</v>
      </c>
      <c r="G200" s="3" t="s">
        <v>60</v>
      </c>
      <c r="H200" s="3" t="s">
        <v>61</v>
      </c>
      <c r="I200" s="3" t="s">
        <v>61</v>
      </c>
      <c r="J200" s="3" t="s">
        <v>62</v>
      </c>
      <c r="K200" s="2" t="s">
        <v>2472</v>
      </c>
      <c r="L200" s="2" t="s">
        <v>2473</v>
      </c>
      <c r="M200" s="3" t="s">
        <v>379</v>
      </c>
      <c r="O200" s="3" t="s">
        <v>114</v>
      </c>
      <c r="P200" s="3" t="s">
        <v>192</v>
      </c>
      <c r="R200" s="3" t="s">
        <v>68</v>
      </c>
      <c r="S200" s="4">
        <v>3</v>
      </c>
      <c r="T200" s="4">
        <v>3</v>
      </c>
      <c r="U200" s="5" t="s">
        <v>2474</v>
      </c>
      <c r="V200" s="5" t="s">
        <v>2474</v>
      </c>
      <c r="W200" s="5" t="s">
        <v>2475</v>
      </c>
      <c r="X200" s="5" t="s">
        <v>2475</v>
      </c>
      <c r="Y200" s="4">
        <v>420</v>
      </c>
      <c r="Z200" s="4">
        <v>301</v>
      </c>
      <c r="AA200" s="4">
        <v>323</v>
      </c>
      <c r="AB200" s="4">
        <v>3</v>
      </c>
      <c r="AC200" s="4">
        <v>3</v>
      </c>
      <c r="AD200" s="4">
        <v>17</v>
      </c>
      <c r="AE200" s="4">
        <v>18</v>
      </c>
      <c r="AF200" s="4">
        <v>5</v>
      </c>
      <c r="AG200" s="4">
        <v>6</v>
      </c>
      <c r="AH200" s="4">
        <v>5</v>
      </c>
      <c r="AI200" s="4">
        <v>5</v>
      </c>
      <c r="AJ200" s="4">
        <v>10</v>
      </c>
      <c r="AK200" s="4">
        <v>10</v>
      </c>
      <c r="AL200" s="4">
        <v>2</v>
      </c>
      <c r="AM200" s="4">
        <v>2</v>
      </c>
      <c r="AN200" s="4">
        <v>0</v>
      </c>
      <c r="AO200" s="4">
        <v>0</v>
      </c>
      <c r="AP200" s="3" t="s">
        <v>61</v>
      </c>
      <c r="AQ200" s="3" t="s">
        <v>61</v>
      </c>
      <c r="AS200" s="6" t="str">
        <f>HYPERLINK("https://creighton-primo.hosted.exlibrisgroup.com/primo-explore/search?tab=default_tab&amp;search_scope=EVERYTHING&amp;vid=01CRU&amp;lang=en_US&amp;offset=0&amp;query=any,contains,991003228989702656","Catalog Record")</f>
        <v>Catalog Record</v>
      </c>
      <c r="AT200" s="6" t="str">
        <f>HYPERLINK("http://www.worldcat.org/oclc/40861944","WorldCat Record")</f>
        <v>WorldCat Record</v>
      </c>
      <c r="AU200" s="3" t="s">
        <v>2476</v>
      </c>
      <c r="AV200" s="3" t="s">
        <v>2477</v>
      </c>
      <c r="AW200" s="3" t="s">
        <v>2478</v>
      </c>
      <c r="AX200" s="3" t="s">
        <v>2478</v>
      </c>
      <c r="AY200" s="3" t="s">
        <v>2479</v>
      </c>
      <c r="AZ200" s="3" t="s">
        <v>75</v>
      </c>
      <c r="BB200" s="3" t="s">
        <v>2480</v>
      </c>
      <c r="BC200" s="3" t="s">
        <v>2481</v>
      </c>
      <c r="BD200" s="3" t="s">
        <v>2482</v>
      </c>
    </row>
    <row r="201" spans="1:56" ht="44.25" customHeight="1" x14ac:dyDescent="0.25">
      <c r="A201" s="7" t="s">
        <v>61</v>
      </c>
      <c r="B201" s="2" t="s">
        <v>2483</v>
      </c>
      <c r="C201" s="2" t="s">
        <v>2484</v>
      </c>
      <c r="D201" s="2" t="s">
        <v>2485</v>
      </c>
      <c r="F201" s="3" t="s">
        <v>61</v>
      </c>
      <c r="G201" s="3" t="s">
        <v>60</v>
      </c>
      <c r="H201" s="3" t="s">
        <v>61</v>
      </c>
      <c r="I201" s="3" t="s">
        <v>61</v>
      </c>
      <c r="J201" s="3" t="s">
        <v>62</v>
      </c>
      <c r="K201" s="2" t="s">
        <v>2486</v>
      </c>
      <c r="L201" s="2" t="s">
        <v>2487</v>
      </c>
      <c r="M201" s="3" t="s">
        <v>2488</v>
      </c>
      <c r="O201" s="3" t="s">
        <v>114</v>
      </c>
      <c r="P201" s="3" t="s">
        <v>364</v>
      </c>
      <c r="Q201" s="2" t="s">
        <v>2489</v>
      </c>
      <c r="R201" s="3" t="s">
        <v>68</v>
      </c>
      <c r="S201" s="4">
        <v>3</v>
      </c>
      <c r="T201" s="4">
        <v>3</v>
      </c>
      <c r="U201" s="5" t="s">
        <v>2490</v>
      </c>
      <c r="V201" s="5" t="s">
        <v>2490</v>
      </c>
      <c r="W201" s="5" t="s">
        <v>2491</v>
      </c>
      <c r="X201" s="5" t="s">
        <v>2491</v>
      </c>
      <c r="Y201" s="4">
        <v>490</v>
      </c>
      <c r="Z201" s="4">
        <v>431</v>
      </c>
      <c r="AA201" s="4">
        <v>545</v>
      </c>
      <c r="AB201" s="4">
        <v>4</v>
      </c>
      <c r="AC201" s="4">
        <v>4</v>
      </c>
      <c r="AD201" s="4">
        <v>19</v>
      </c>
      <c r="AE201" s="4">
        <v>24</v>
      </c>
      <c r="AF201" s="4">
        <v>10</v>
      </c>
      <c r="AG201" s="4">
        <v>13</v>
      </c>
      <c r="AH201" s="4">
        <v>3</v>
      </c>
      <c r="AI201" s="4">
        <v>5</v>
      </c>
      <c r="AJ201" s="4">
        <v>11</v>
      </c>
      <c r="AK201" s="4">
        <v>13</v>
      </c>
      <c r="AL201" s="4">
        <v>1</v>
      </c>
      <c r="AM201" s="4">
        <v>1</v>
      </c>
      <c r="AN201" s="4">
        <v>0</v>
      </c>
      <c r="AO201" s="4">
        <v>0</v>
      </c>
      <c r="AP201" s="3" t="s">
        <v>61</v>
      </c>
      <c r="AQ201" s="3" t="s">
        <v>59</v>
      </c>
      <c r="AR201" s="6" t="str">
        <f>HYPERLINK("http://catalog.hathitrust.org/Record/000666356","HathiTrust Record")</f>
        <v>HathiTrust Record</v>
      </c>
      <c r="AS201" s="6" t="str">
        <f>HYPERLINK("https://creighton-primo.hosted.exlibrisgroup.com/primo-explore/search?tab=default_tab&amp;search_scope=EVERYTHING&amp;vid=01CRU&amp;lang=en_US&amp;offset=0&amp;query=any,contains,991002664679702656","Catalog Record")</f>
        <v>Catalog Record</v>
      </c>
      <c r="AT201" s="6" t="str">
        <f>HYPERLINK("http://www.worldcat.org/oclc/392744","WorldCat Record")</f>
        <v>WorldCat Record</v>
      </c>
      <c r="AU201" s="3" t="s">
        <v>2492</v>
      </c>
      <c r="AV201" s="3" t="s">
        <v>2493</v>
      </c>
      <c r="AW201" s="3" t="s">
        <v>2494</v>
      </c>
      <c r="AX201" s="3" t="s">
        <v>2494</v>
      </c>
      <c r="AY201" s="3" t="s">
        <v>2495</v>
      </c>
      <c r="AZ201" s="3" t="s">
        <v>75</v>
      </c>
      <c r="BC201" s="3" t="s">
        <v>2496</v>
      </c>
      <c r="BD201" s="3" t="s">
        <v>2497</v>
      </c>
    </row>
    <row r="202" spans="1:56" ht="44.25" customHeight="1" x14ac:dyDescent="0.25">
      <c r="A202" s="7" t="s">
        <v>61</v>
      </c>
      <c r="B202" s="2" t="s">
        <v>2498</v>
      </c>
      <c r="C202" s="2" t="s">
        <v>2499</v>
      </c>
      <c r="D202" s="2" t="s">
        <v>2500</v>
      </c>
      <c r="F202" s="3" t="s">
        <v>61</v>
      </c>
      <c r="G202" s="3" t="s">
        <v>60</v>
      </c>
      <c r="H202" s="3" t="s">
        <v>61</v>
      </c>
      <c r="I202" s="3" t="s">
        <v>61</v>
      </c>
      <c r="J202" s="3" t="s">
        <v>62</v>
      </c>
      <c r="K202" s="2" t="s">
        <v>2226</v>
      </c>
      <c r="L202" s="2" t="s">
        <v>2501</v>
      </c>
      <c r="M202" s="3" t="s">
        <v>2281</v>
      </c>
      <c r="O202" s="3" t="s">
        <v>114</v>
      </c>
      <c r="P202" s="3" t="s">
        <v>2432</v>
      </c>
      <c r="R202" s="3" t="s">
        <v>68</v>
      </c>
      <c r="S202" s="4">
        <v>1</v>
      </c>
      <c r="T202" s="4">
        <v>1</v>
      </c>
      <c r="U202" s="5" t="s">
        <v>2502</v>
      </c>
      <c r="V202" s="5" t="s">
        <v>2502</v>
      </c>
      <c r="W202" s="5" t="s">
        <v>2502</v>
      </c>
      <c r="X202" s="5" t="s">
        <v>2502</v>
      </c>
      <c r="Y202" s="4">
        <v>832</v>
      </c>
      <c r="Z202" s="4">
        <v>671</v>
      </c>
      <c r="AA202" s="4">
        <v>859</v>
      </c>
      <c r="AB202" s="4">
        <v>4</v>
      </c>
      <c r="AC202" s="4">
        <v>7</v>
      </c>
      <c r="AD202" s="4">
        <v>33</v>
      </c>
      <c r="AE202" s="4">
        <v>42</v>
      </c>
      <c r="AF202" s="4">
        <v>11</v>
      </c>
      <c r="AG202" s="4">
        <v>17</v>
      </c>
      <c r="AH202" s="4">
        <v>8</v>
      </c>
      <c r="AI202" s="4">
        <v>9</v>
      </c>
      <c r="AJ202" s="4">
        <v>21</v>
      </c>
      <c r="AK202" s="4">
        <v>21</v>
      </c>
      <c r="AL202" s="4">
        <v>3</v>
      </c>
      <c r="AM202" s="4">
        <v>6</v>
      </c>
      <c r="AN202" s="4">
        <v>0</v>
      </c>
      <c r="AO202" s="4">
        <v>0</v>
      </c>
      <c r="AP202" s="3" t="s">
        <v>61</v>
      </c>
      <c r="AQ202" s="3" t="s">
        <v>59</v>
      </c>
      <c r="AR202" s="6" t="str">
        <f>HYPERLINK("http://catalog.hathitrust.org/Record/000084702","HathiTrust Record")</f>
        <v>HathiTrust Record</v>
      </c>
      <c r="AS202" s="6" t="str">
        <f>HYPERLINK("https://creighton-primo.hosted.exlibrisgroup.com/primo-explore/search?tab=default_tab&amp;search_scope=EVERYTHING&amp;vid=01CRU&amp;lang=en_US&amp;offset=0&amp;query=any,contains,991003994729702656","Catalog Record")</f>
        <v>Catalog Record</v>
      </c>
      <c r="AT202" s="6" t="str">
        <f>HYPERLINK("http://www.worldcat.org/oclc/2525245","WorldCat Record")</f>
        <v>WorldCat Record</v>
      </c>
      <c r="AU202" s="3" t="s">
        <v>2503</v>
      </c>
      <c r="AV202" s="3" t="s">
        <v>2504</v>
      </c>
      <c r="AW202" s="3" t="s">
        <v>2505</v>
      </c>
      <c r="AX202" s="3" t="s">
        <v>2505</v>
      </c>
      <c r="AY202" s="3" t="s">
        <v>2506</v>
      </c>
      <c r="AZ202" s="3" t="s">
        <v>75</v>
      </c>
      <c r="BB202" s="3" t="s">
        <v>2507</v>
      </c>
      <c r="BC202" s="3" t="s">
        <v>2508</v>
      </c>
      <c r="BD202" s="3" t="s">
        <v>2509</v>
      </c>
    </row>
    <row r="203" spans="1:56" ht="44.25" customHeight="1" x14ac:dyDescent="0.25">
      <c r="A203" s="7" t="s">
        <v>61</v>
      </c>
      <c r="B203" s="2" t="s">
        <v>2510</v>
      </c>
      <c r="C203" s="2" t="s">
        <v>2511</v>
      </c>
      <c r="D203" s="2" t="s">
        <v>2512</v>
      </c>
      <c r="F203" s="3" t="s">
        <v>61</v>
      </c>
      <c r="G203" s="3" t="s">
        <v>60</v>
      </c>
      <c r="H203" s="3" t="s">
        <v>61</v>
      </c>
      <c r="I203" s="3" t="s">
        <v>61</v>
      </c>
      <c r="J203" s="3" t="s">
        <v>62</v>
      </c>
      <c r="K203" s="2" t="s">
        <v>2513</v>
      </c>
      <c r="L203" s="2" t="s">
        <v>2514</v>
      </c>
      <c r="M203" s="3" t="s">
        <v>305</v>
      </c>
      <c r="O203" s="3" t="s">
        <v>114</v>
      </c>
      <c r="P203" s="3" t="s">
        <v>437</v>
      </c>
      <c r="Q203" s="2" t="s">
        <v>2515</v>
      </c>
      <c r="R203" s="3" t="s">
        <v>68</v>
      </c>
      <c r="S203" s="4">
        <v>2</v>
      </c>
      <c r="T203" s="4">
        <v>2</v>
      </c>
      <c r="U203" s="5" t="s">
        <v>771</v>
      </c>
      <c r="V203" s="5" t="s">
        <v>771</v>
      </c>
      <c r="W203" s="5" t="s">
        <v>2491</v>
      </c>
      <c r="X203" s="5" t="s">
        <v>2491</v>
      </c>
      <c r="Y203" s="4">
        <v>835</v>
      </c>
      <c r="Z203" s="4">
        <v>717</v>
      </c>
      <c r="AA203" s="4">
        <v>738</v>
      </c>
      <c r="AB203" s="4">
        <v>5</v>
      </c>
      <c r="AC203" s="4">
        <v>5</v>
      </c>
      <c r="AD203" s="4">
        <v>36</v>
      </c>
      <c r="AE203" s="4">
        <v>36</v>
      </c>
      <c r="AF203" s="4">
        <v>12</v>
      </c>
      <c r="AG203" s="4">
        <v>12</v>
      </c>
      <c r="AH203" s="4">
        <v>10</v>
      </c>
      <c r="AI203" s="4">
        <v>10</v>
      </c>
      <c r="AJ203" s="4">
        <v>20</v>
      </c>
      <c r="AK203" s="4">
        <v>20</v>
      </c>
      <c r="AL203" s="4">
        <v>4</v>
      </c>
      <c r="AM203" s="4">
        <v>4</v>
      </c>
      <c r="AN203" s="4">
        <v>0</v>
      </c>
      <c r="AO203" s="4">
        <v>0</v>
      </c>
      <c r="AP203" s="3" t="s">
        <v>61</v>
      </c>
      <c r="AQ203" s="3" t="s">
        <v>59</v>
      </c>
      <c r="AR203" s="6" t="str">
        <f>HYPERLINK("http://catalog.hathitrust.org/Record/000666365","HathiTrust Record")</f>
        <v>HathiTrust Record</v>
      </c>
      <c r="AS203" s="6" t="str">
        <f>HYPERLINK("https://creighton-primo.hosted.exlibrisgroup.com/primo-explore/search?tab=default_tab&amp;search_scope=EVERYTHING&amp;vid=01CRU&amp;lang=en_US&amp;offset=0&amp;query=any,contains,991002663699702656","Catalog Record")</f>
        <v>Catalog Record</v>
      </c>
      <c r="AT203" s="6" t="str">
        <f>HYPERLINK("http://www.worldcat.org/oclc/392288","WorldCat Record")</f>
        <v>WorldCat Record</v>
      </c>
      <c r="AU203" s="3" t="s">
        <v>2516</v>
      </c>
      <c r="AV203" s="3" t="s">
        <v>2517</v>
      </c>
      <c r="AW203" s="3" t="s">
        <v>2518</v>
      </c>
      <c r="AX203" s="3" t="s">
        <v>2518</v>
      </c>
      <c r="AY203" s="3" t="s">
        <v>2519</v>
      </c>
      <c r="AZ203" s="3" t="s">
        <v>75</v>
      </c>
      <c r="BC203" s="3" t="s">
        <v>2520</v>
      </c>
      <c r="BD203" s="3" t="s">
        <v>2521</v>
      </c>
    </row>
    <row r="204" spans="1:56" ht="44.25" customHeight="1" x14ac:dyDescent="0.25">
      <c r="A204" s="7" t="s">
        <v>61</v>
      </c>
      <c r="B204" s="2" t="s">
        <v>2522</v>
      </c>
      <c r="C204" s="2" t="s">
        <v>2523</v>
      </c>
      <c r="D204" s="2" t="s">
        <v>2524</v>
      </c>
      <c r="F204" s="3" t="s">
        <v>61</v>
      </c>
      <c r="G204" s="3" t="s">
        <v>60</v>
      </c>
      <c r="H204" s="3" t="s">
        <v>61</v>
      </c>
      <c r="I204" s="3" t="s">
        <v>61</v>
      </c>
      <c r="J204" s="3" t="s">
        <v>62</v>
      </c>
      <c r="L204" s="2" t="s">
        <v>2525</v>
      </c>
      <c r="M204" s="3" t="s">
        <v>552</v>
      </c>
      <c r="O204" s="3" t="s">
        <v>114</v>
      </c>
      <c r="P204" s="3" t="s">
        <v>235</v>
      </c>
      <c r="R204" s="3" t="s">
        <v>68</v>
      </c>
      <c r="S204" s="4">
        <v>12</v>
      </c>
      <c r="T204" s="4">
        <v>12</v>
      </c>
      <c r="U204" s="5" t="s">
        <v>2526</v>
      </c>
      <c r="V204" s="5" t="s">
        <v>2526</v>
      </c>
      <c r="W204" s="5" t="s">
        <v>2527</v>
      </c>
      <c r="X204" s="5" t="s">
        <v>2527</v>
      </c>
      <c r="Y204" s="4">
        <v>863</v>
      </c>
      <c r="Z204" s="4">
        <v>617</v>
      </c>
      <c r="AA204" s="4">
        <v>643</v>
      </c>
      <c r="AB204" s="4">
        <v>5</v>
      </c>
      <c r="AC204" s="4">
        <v>5</v>
      </c>
      <c r="AD204" s="4">
        <v>31</v>
      </c>
      <c r="AE204" s="4">
        <v>31</v>
      </c>
      <c r="AF204" s="4">
        <v>14</v>
      </c>
      <c r="AG204" s="4">
        <v>14</v>
      </c>
      <c r="AH204" s="4">
        <v>7</v>
      </c>
      <c r="AI204" s="4">
        <v>7</v>
      </c>
      <c r="AJ204" s="4">
        <v>15</v>
      </c>
      <c r="AK204" s="4">
        <v>15</v>
      </c>
      <c r="AL204" s="4">
        <v>4</v>
      </c>
      <c r="AM204" s="4">
        <v>4</v>
      </c>
      <c r="AN204" s="4">
        <v>0</v>
      </c>
      <c r="AO204" s="4">
        <v>0</v>
      </c>
      <c r="AP204" s="3" t="s">
        <v>61</v>
      </c>
      <c r="AQ204" s="3" t="s">
        <v>59</v>
      </c>
      <c r="AR204" s="6" t="str">
        <f>HYPERLINK("http://catalog.hathitrust.org/Record/001299414","HathiTrust Record")</f>
        <v>HathiTrust Record</v>
      </c>
      <c r="AS204" s="6" t="str">
        <f>HYPERLINK("https://creighton-primo.hosted.exlibrisgroup.com/primo-explore/search?tab=default_tab&amp;search_scope=EVERYTHING&amp;vid=01CRU&amp;lang=en_US&amp;offset=0&amp;query=any,contains,991001314339702656","Catalog Record")</f>
        <v>Catalog Record</v>
      </c>
      <c r="AT204" s="6" t="str">
        <f>HYPERLINK("http://www.worldcat.org/oclc/18165521","WorldCat Record")</f>
        <v>WorldCat Record</v>
      </c>
      <c r="AU204" s="3" t="s">
        <v>2528</v>
      </c>
      <c r="AV204" s="3" t="s">
        <v>2529</v>
      </c>
      <c r="AW204" s="3" t="s">
        <v>2530</v>
      </c>
      <c r="AX204" s="3" t="s">
        <v>2530</v>
      </c>
      <c r="AY204" s="3" t="s">
        <v>2531</v>
      </c>
      <c r="AZ204" s="3" t="s">
        <v>75</v>
      </c>
      <c r="BB204" s="3" t="s">
        <v>2532</v>
      </c>
      <c r="BC204" s="3" t="s">
        <v>2533</v>
      </c>
      <c r="BD204" s="3" t="s">
        <v>2534</v>
      </c>
    </row>
    <row r="205" spans="1:56" ht="44.25" customHeight="1" x14ac:dyDescent="0.25">
      <c r="A205" s="7" t="s">
        <v>61</v>
      </c>
      <c r="B205" s="2" t="s">
        <v>2535</v>
      </c>
      <c r="C205" s="2" t="s">
        <v>2536</v>
      </c>
      <c r="D205" s="2" t="s">
        <v>2537</v>
      </c>
      <c r="F205" s="3" t="s">
        <v>61</v>
      </c>
      <c r="G205" s="3" t="s">
        <v>60</v>
      </c>
      <c r="H205" s="3" t="s">
        <v>61</v>
      </c>
      <c r="I205" s="3" t="s">
        <v>61</v>
      </c>
      <c r="J205" s="3" t="s">
        <v>62</v>
      </c>
      <c r="K205" s="2" t="s">
        <v>2538</v>
      </c>
      <c r="L205" s="2" t="s">
        <v>2539</v>
      </c>
      <c r="M205" s="3" t="s">
        <v>796</v>
      </c>
      <c r="O205" s="3" t="s">
        <v>114</v>
      </c>
      <c r="P205" s="3" t="s">
        <v>235</v>
      </c>
      <c r="R205" s="3" t="s">
        <v>68</v>
      </c>
      <c r="S205" s="4">
        <v>1</v>
      </c>
      <c r="T205" s="4">
        <v>1</v>
      </c>
      <c r="U205" s="5" t="s">
        <v>2540</v>
      </c>
      <c r="V205" s="5" t="s">
        <v>2540</v>
      </c>
      <c r="W205" s="5" t="s">
        <v>694</v>
      </c>
      <c r="X205" s="5" t="s">
        <v>694</v>
      </c>
      <c r="Y205" s="4">
        <v>352</v>
      </c>
      <c r="Z205" s="4">
        <v>275</v>
      </c>
      <c r="AA205" s="4">
        <v>457</v>
      </c>
      <c r="AB205" s="4">
        <v>3</v>
      </c>
      <c r="AC205" s="4">
        <v>3</v>
      </c>
      <c r="AD205" s="4">
        <v>19</v>
      </c>
      <c r="AE205" s="4">
        <v>25</v>
      </c>
      <c r="AF205" s="4">
        <v>3</v>
      </c>
      <c r="AG205" s="4">
        <v>9</v>
      </c>
      <c r="AH205" s="4">
        <v>7</v>
      </c>
      <c r="AI205" s="4">
        <v>8</v>
      </c>
      <c r="AJ205" s="4">
        <v>14</v>
      </c>
      <c r="AK205" s="4">
        <v>15</v>
      </c>
      <c r="AL205" s="4">
        <v>2</v>
      </c>
      <c r="AM205" s="4">
        <v>2</v>
      </c>
      <c r="AN205" s="4">
        <v>0</v>
      </c>
      <c r="AO205" s="4">
        <v>0</v>
      </c>
      <c r="AP205" s="3" t="s">
        <v>61</v>
      </c>
      <c r="AQ205" s="3" t="s">
        <v>61</v>
      </c>
      <c r="AS205" s="6" t="str">
        <f>HYPERLINK("https://creighton-primo.hosted.exlibrisgroup.com/primo-explore/search?tab=default_tab&amp;search_scope=EVERYTHING&amp;vid=01CRU&amp;lang=en_US&amp;offset=0&amp;query=any,contains,991001211829702656","Catalog Record")</f>
        <v>Catalog Record</v>
      </c>
      <c r="AT205" s="6" t="str">
        <f>HYPERLINK("http://www.worldcat.org/oclc/17385636","WorldCat Record")</f>
        <v>WorldCat Record</v>
      </c>
      <c r="AU205" s="3" t="s">
        <v>2541</v>
      </c>
      <c r="AV205" s="3" t="s">
        <v>2542</v>
      </c>
      <c r="AW205" s="3" t="s">
        <v>2543</v>
      </c>
      <c r="AX205" s="3" t="s">
        <v>2543</v>
      </c>
      <c r="AY205" s="3" t="s">
        <v>2544</v>
      </c>
      <c r="AZ205" s="3" t="s">
        <v>75</v>
      </c>
      <c r="BB205" s="3" t="s">
        <v>2545</v>
      </c>
      <c r="BC205" s="3" t="s">
        <v>2546</v>
      </c>
      <c r="BD205" s="3" t="s">
        <v>2547</v>
      </c>
    </row>
    <row r="206" spans="1:56" ht="44.25" customHeight="1" x14ac:dyDescent="0.25">
      <c r="A206" s="7" t="s">
        <v>61</v>
      </c>
      <c r="B206" s="2" t="s">
        <v>2548</v>
      </c>
      <c r="C206" s="2" t="s">
        <v>2549</v>
      </c>
      <c r="D206" s="2" t="s">
        <v>2550</v>
      </c>
      <c r="F206" s="3" t="s">
        <v>61</v>
      </c>
      <c r="G206" s="3" t="s">
        <v>60</v>
      </c>
      <c r="H206" s="3" t="s">
        <v>61</v>
      </c>
      <c r="I206" s="3" t="s">
        <v>61</v>
      </c>
      <c r="J206" s="3" t="s">
        <v>62</v>
      </c>
      <c r="K206" s="2" t="s">
        <v>2551</v>
      </c>
      <c r="L206" s="2" t="s">
        <v>2552</v>
      </c>
      <c r="M206" s="3" t="s">
        <v>1596</v>
      </c>
      <c r="O206" s="3" t="s">
        <v>114</v>
      </c>
      <c r="P206" s="3" t="s">
        <v>2553</v>
      </c>
      <c r="R206" s="3" t="s">
        <v>68</v>
      </c>
      <c r="S206" s="4">
        <v>14</v>
      </c>
      <c r="T206" s="4">
        <v>14</v>
      </c>
      <c r="U206" s="5" t="s">
        <v>2554</v>
      </c>
      <c r="V206" s="5" t="s">
        <v>2554</v>
      </c>
      <c r="W206" s="5" t="s">
        <v>2555</v>
      </c>
      <c r="X206" s="5" t="s">
        <v>2555</v>
      </c>
      <c r="Y206" s="4">
        <v>709</v>
      </c>
      <c r="Z206" s="4">
        <v>612</v>
      </c>
      <c r="AA206" s="4">
        <v>628</v>
      </c>
      <c r="AB206" s="4">
        <v>9</v>
      </c>
      <c r="AC206" s="4">
        <v>9</v>
      </c>
      <c r="AD206" s="4">
        <v>32</v>
      </c>
      <c r="AE206" s="4">
        <v>32</v>
      </c>
      <c r="AF206" s="4">
        <v>9</v>
      </c>
      <c r="AG206" s="4">
        <v>9</v>
      </c>
      <c r="AH206" s="4">
        <v>9</v>
      </c>
      <c r="AI206" s="4">
        <v>9</v>
      </c>
      <c r="AJ206" s="4">
        <v>11</v>
      </c>
      <c r="AK206" s="4">
        <v>11</v>
      </c>
      <c r="AL206" s="4">
        <v>7</v>
      </c>
      <c r="AM206" s="4">
        <v>7</v>
      </c>
      <c r="AN206" s="4">
        <v>0</v>
      </c>
      <c r="AO206" s="4">
        <v>0</v>
      </c>
      <c r="AP206" s="3" t="s">
        <v>61</v>
      </c>
      <c r="AQ206" s="3" t="s">
        <v>59</v>
      </c>
      <c r="AR206" s="6" t="str">
        <f>HYPERLINK("http://catalog.hathitrust.org/Record/000713518","HathiTrust Record")</f>
        <v>HathiTrust Record</v>
      </c>
      <c r="AS206" s="6" t="str">
        <f>HYPERLINK("https://creighton-primo.hosted.exlibrisgroup.com/primo-explore/search?tab=default_tab&amp;search_scope=EVERYTHING&amp;vid=01CRU&amp;lang=en_US&amp;offset=0&amp;query=any,contains,991004019029702656","Catalog Record")</f>
        <v>Catalog Record</v>
      </c>
      <c r="AT206" s="6" t="str">
        <f>HYPERLINK("http://www.worldcat.org/oclc/2119405","WorldCat Record")</f>
        <v>WorldCat Record</v>
      </c>
      <c r="AU206" s="3" t="s">
        <v>2556</v>
      </c>
      <c r="AV206" s="3" t="s">
        <v>2557</v>
      </c>
      <c r="AW206" s="3" t="s">
        <v>2558</v>
      </c>
      <c r="AX206" s="3" t="s">
        <v>2558</v>
      </c>
      <c r="AY206" s="3" t="s">
        <v>2559</v>
      </c>
      <c r="AZ206" s="3" t="s">
        <v>75</v>
      </c>
      <c r="BB206" s="3" t="s">
        <v>2560</v>
      </c>
      <c r="BC206" s="3" t="s">
        <v>2561</v>
      </c>
      <c r="BD206" s="3" t="s">
        <v>2562</v>
      </c>
    </row>
    <row r="207" spans="1:56" ht="44.25" customHeight="1" x14ac:dyDescent="0.25">
      <c r="A207" s="7" t="s">
        <v>61</v>
      </c>
      <c r="B207" s="2" t="s">
        <v>2563</v>
      </c>
      <c r="C207" s="2" t="s">
        <v>2564</v>
      </c>
      <c r="D207" s="2" t="s">
        <v>2565</v>
      </c>
      <c r="F207" s="3" t="s">
        <v>61</v>
      </c>
      <c r="G207" s="3" t="s">
        <v>60</v>
      </c>
      <c r="H207" s="3" t="s">
        <v>61</v>
      </c>
      <c r="I207" s="3" t="s">
        <v>61</v>
      </c>
      <c r="J207" s="3" t="s">
        <v>62</v>
      </c>
      <c r="K207" s="2" t="s">
        <v>2566</v>
      </c>
      <c r="L207" s="2" t="s">
        <v>2567</v>
      </c>
      <c r="M207" s="3" t="s">
        <v>2281</v>
      </c>
      <c r="O207" s="3" t="s">
        <v>114</v>
      </c>
      <c r="P207" s="3" t="s">
        <v>1439</v>
      </c>
      <c r="Q207" s="2" t="s">
        <v>2568</v>
      </c>
      <c r="R207" s="3" t="s">
        <v>68</v>
      </c>
      <c r="S207" s="4">
        <v>2</v>
      </c>
      <c r="T207" s="4">
        <v>2</v>
      </c>
      <c r="U207" s="5" t="s">
        <v>2569</v>
      </c>
      <c r="V207" s="5" t="s">
        <v>2569</v>
      </c>
      <c r="W207" s="5" t="s">
        <v>2570</v>
      </c>
      <c r="X207" s="5" t="s">
        <v>2570</v>
      </c>
      <c r="Y207" s="4">
        <v>731</v>
      </c>
      <c r="Z207" s="4">
        <v>657</v>
      </c>
      <c r="AA207" s="4">
        <v>725</v>
      </c>
      <c r="AB207" s="4">
        <v>5</v>
      </c>
      <c r="AC207" s="4">
        <v>7</v>
      </c>
      <c r="AD207" s="4">
        <v>36</v>
      </c>
      <c r="AE207" s="4">
        <v>38</v>
      </c>
      <c r="AF207" s="4">
        <v>15</v>
      </c>
      <c r="AG207" s="4">
        <v>16</v>
      </c>
      <c r="AH207" s="4">
        <v>8</v>
      </c>
      <c r="AI207" s="4">
        <v>8</v>
      </c>
      <c r="AJ207" s="4">
        <v>19</v>
      </c>
      <c r="AK207" s="4">
        <v>19</v>
      </c>
      <c r="AL207" s="4">
        <v>3</v>
      </c>
      <c r="AM207" s="4">
        <v>4</v>
      </c>
      <c r="AN207" s="4">
        <v>0</v>
      </c>
      <c r="AO207" s="4">
        <v>0</v>
      </c>
      <c r="AP207" s="3" t="s">
        <v>61</v>
      </c>
      <c r="AQ207" s="3" t="s">
        <v>59</v>
      </c>
      <c r="AR207" s="6" t="str">
        <f>HYPERLINK("http://catalog.hathitrust.org/Record/000102979","HathiTrust Record")</f>
        <v>HathiTrust Record</v>
      </c>
      <c r="AS207" s="6" t="str">
        <f>HYPERLINK("https://creighton-primo.hosted.exlibrisgroup.com/primo-explore/search?tab=default_tab&amp;search_scope=EVERYTHING&amp;vid=01CRU&amp;lang=en_US&amp;offset=0&amp;query=any,contains,991004362319702656","Catalog Record")</f>
        <v>Catalog Record</v>
      </c>
      <c r="AT207" s="6" t="str">
        <f>HYPERLINK("http://www.worldcat.org/oclc/3168067","WorldCat Record")</f>
        <v>WorldCat Record</v>
      </c>
      <c r="AU207" s="3" t="s">
        <v>2571</v>
      </c>
      <c r="AV207" s="3" t="s">
        <v>2572</v>
      </c>
      <c r="AW207" s="3" t="s">
        <v>2573</v>
      </c>
      <c r="AX207" s="3" t="s">
        <v>2573</v>
      </c>
      <c r="AY207" s="3" t="s">
        <v>2574</v>
      </c>
      <c r="AZ207" s="3" t="s">
        <v>75</v>
      </c>
      <c r="BB207" s="3" t="s">
        <v>2575</v>
      </c>
      <c r="BC207" s="3" t="s">
        <v>2576</v>
      </c>
      <c r="BD207" s="3" t="s">
        <v>2577</v>
      </c>
    </row>
    <row r="208" spans="1:56" ht="44.25" customHeight="1" x14ac:dyDescent="0.25">
      <c r="A208" s="7" t="s">
        <v>61</v>
      </c>
      <c r="B208" s="2" t="s">
        <v>2578</v>
      </c>
      <c r="C208" s="2" t="s">
        <v>2579</v>
      </c>
      <c r="D208" s="2" t="s">
        <v>2580</v>
      </c>
      <c r="F208" s="3" t="s">
        <v>61</v>
      </c>
      <c r="G208" s="3" t="s">
        <v>60</v>
      </c>
      <c r="H208" s="3" t="s">
        <v>61</v>
      </c>
      <c r="I208" s="3" t="s">
        <v>61</v>
      </c>
      <c r="J208" s="3" t="s">
        <v>62</v>
      </c>
      <c r="K208" s="2" t="s">
        <v>2581</v>
      </c>
      <c r="L208" s="2" t="s">
        <v>2582</v>
      </c>
      <c r="M208" s="3" t="s">
        <v>755</v>
      </c>
      <c r="O208" s="3" t="s">
        <v>114</v>
      </c>
      <c r="P208" s="3" t="s">
        <v>235</v>
      </c>
      <c r="Q208" s="2" t="s">
        <v>2583</v>
      </c>
      <c r="R208" s="3" t="s">
        <v>68</v>
      </c>
      <c r="S208" s="4">
        <v>3</v>
      </c>
      <c r="T208" s="4">
        <v>3</v>
      </c>
      <c r="U208" s="5" t="s">
        <v>2569</v>
      </c>
      <c r="V208" s="5" t="s">
        <v>2569</v>
      </c>
      <c r="W208" s="5" t="s">
        <v>2570</v>
      </c>
      <c r="X208" s="5" t="s">
        <v>2570</v>
      </c>
      <c r="Y208" s="4">
        <v>347</v>
      </c>
      <c r="Z208" s="4">
        <v>255</v>
      </c>
      <c r="AA208" s="4">
        <v>257</v>
      </c>
      <c r="AB208" s="4">
        <v>2</v>
      </c>
      <c r="AC208" s="4">
        <v>2</v>
      </c>
      <c r="AD208" s="4">
        <v>15</v>
      </c>
      <c r="AE208" s="4">
        <v>15</v>
      </c>
      <c r="AF208" s="4">
        <v>3</v>
      </c>
      <c r="AG208" s="4">
        <v>3</v>
      </c>
      <c r="AH208" s="4">
        <v>4</v>
      </c>
      <c r="AI208" s="4">
        <v>4</v>
      </c>
      <c r="AJ208" s="4">
        <v>11</v>
      </c>
      <c r="AK208" s="4">
        <v>11</v>
      </c>
      <c r="AL208" s="4">
        <v>1</v>
      </c>
      <c r="AM208" s="4">
        <v>1</v>
      </c>
      <c r="AN208" s="4">
        <v>0</v>
      </c>
      <c r="AO208" s="4">
        <v>0</v>
      </c>
      <c r="AP208" s="3" t="s">
        <v>61</v>
      </c>
      <c r="AQ208" s="3" t="s">
        <v>59</v>
      </c>
      <c r="AR208" s="6" t="str">
        <f>HYPERLINK("http://catalog.hathitrust.org/Record/000631762","HathiTrust Record")</f>
        <v>HathiTrust Record</v>
      </c>
      <c r="AS208" s="6" t="str">
        <f>HYPERLINK("https://creighton-primo.hosted.exlibrisgroup.com/primo-explore/search?tab=default_tab&amp;search_scope=EVERYTHING&amp;vid=01CRU&amp;lang=en_US&amp;offset=0&amp;query=any,contains,991000798149702656","Catalog Record")</f>
        <v>Catalog Record</v>
      </c>
      <c r="AT208" s="6" t="str">
        <f>HYPERLINK("http://www.worldcat.org/oclc/137880","WorldCat Record")</f>
        <v>WorldCat Record</v>
      </c>
      <c r="AU208" s="3" t="s">
        <v>2584</v>
      </c>
      <c r="AV208" s="3" t="s">
        <v>2585</v>
      </c>
      <c r="AW208" s="3" t="s">
        <v>2586</v>
      </c>
      <c r="AX208" s="3" t="s">
        <v>2586</v>
      </c>
      <c r="AY208" s="3" t="s">
        <v>2587</v>
      </c>
      <c r="AZ208" s="3" t="s">
        <v>75</v>
      </c>
      <c r="BB208" s="3" t="s">
        <v>2588</v>
      </c>
      <c r="BC208" s="3" t="s">
        <v>2589</v>
      </c>
      <c r="BD208" s="3" t="s">
        <v>2590</v>
      </c>
    </row>
    <row r="209" spans="1:56" ht="44.25" customHeight="1" x14ac:dyDescent="0.25">
      <c r="A209" s="7" t="s">
        <v>61</v>
      </c>
      <c r="B209" s="2" t="s">
        <v>2591</v>
      </c>
      <c r="C209" s="2" t="s">
        <v>2592</v>
      </c>
      <c r="D209" s="2" t="s">
        <v>2593</v>
      </c>
      <c r="F209" s="3" t="s">
        <v>61</v>
      </c>
      <c r="G209" s="3" t="s">
        <v>60</v>
      </c>
      <c r="H209" s="3" t="s">
        <v>61</v>
      </c>
      <c r="I209" s="3" t="s">
        <v>61</v>
      </c>
      <c r="J209" s="3" t="s">
        <v>62</v>
      </c>
      <c r="K209" s="2" t="s">
        <v>2594</v>
      </c>
      <c r="L209" s="2" t="s">
        <v>2595</v>
      </c>
      <c r="M209" s="3" t="s">
        <v>707</v>
      </c>
      <c r="O209" s="3" t="s">
        <v>114</v>
      </c>
      <c r="P209" s="3" t="s">
        <v>1114</v>
      </c>
      <c r="R209" s="3" t="s">
        <v>68</v>
      </c>
      <c r="S209" s="4">
        <v>3</v>
      </c>
      <c r="T209" s="4">
        <v>3</v>
      </c>
      <c r="U209" s="5" t="s">
        <v>2596</v>
      </c>
      <c r="V209" s="5" t="s">
        <v>2596</v>
      </c>
      <c r="W209" s="5" t="s">
        <v>2098</v>
      </c>
      <c r="X209" s="5" t="s">
        <v>2098</v>
      </c>
      <c r="Y209" s="4">
        <v>520</v>
      </c>
      <c r="Z209" s="4">
        <v>497</v>
      </c>
      <c r="AA209" s="4">
        <v>499</v>
      </c>
      <c r="AB209" s="4">
        <v>3</v>
      </c>
      <c r="AC209" s="4">
        <v>3</v>
      </c>
      <c r="AD209" s="4">
        <v>14</v>
      </c>
      <c r="AE209" s="4">
        <v>14</v>
      </c>
      <c r="AF209" s="4">
        <v>6</v>
      </c>
      <c r="AG209" s="4">
        <v>6</v>
      </c>
      <c r="AH209" s="4">
        <v>2</v>
      </c>
      <c r="AI209" s="4">
        <v>2</v>
      </c>
      <c r="AJ209" s="4">
        <v>8</v>
      </c>
      <c r="AK209" s="4">
        <v>8</v>
      </c>
      <c r="AL209" s="4">
        <v>1</v>
      </c>
      <c r="AM209" s="4">
        <v>1</v>
      </c>
      <c r="AN209" s="4">
        <v>0</v>
      </c>
      <c r="AO209" s="4">
        <v>0</v>
      </c>
      <c r="AP209" s="3" t="s">
        <v>61</v>
      </c>
      <c r="AQ209" s="3" t="s">
        <v>59</v>
      </c>
      <c r="AR209" s="6" t="str">
        <f>HYPERLINK("http://catalog.hathitrust.org/Record/000632517","HathiTrust Record")</f>
        <v>HathiTrust Record</v>
      </c>
      <c r="AS209" s="6" t="str">
        <f>HYPERLINK("https://creighton-primo.hosted.exlibrisgroup.com/primo-explore/search?tab=default_tab&amp;search_scope=EVERYTHING&amp;vid=01CRU&amp;lang=en_US&amp;offset=0&amp;query=any,contains,991002664479702656","Catalog Record")</f>
        <v>Catalog Record</v>
      </c>
      <c r="AT209" s="6" t="str">
        <f>HYPERLINK("http://www.worldcat.org/oclc/392661","WorldCat Record")</f>
        <v>WorldCat Record</v>
      </c>
      <c r="AU209" s="3" t="s">
        <v>2597</v>
      </c>
      <c r="AV209" s="3" t="s">
        <v>2598</v>
      </c>
      <c r="AW209" s="3" t="s">
        <v>2599</v>
      </c>
      <c r="AX209" s="3" t="s">
        <v>2599</v>
      </c>
      <c r="AY209" s="3" t="s">
        <v>2600</v>
      </c>
      <c r="AZ209" s="3" t="s">
        <v>75</v>
      </c>
      <c r="BC209" s="3" t="s">
        <v>2601</v>
      </c>
      <c r="BD209" s="3" t="s">
        <v>2602</v>
      </c>
    </row>
    <row r="210" spans="1:56" ht="44.25" customHeight="1" x14ac:dyDescent="0.25">
      <c r="A210" s="7" t="s">
        <v>61</v>
      </c>
      <c r="B210" s="2" t="s">
        <v>2603</v>
      </c>
      <c r="C210" s="2" t="s">
        <v>2604</v>
      </c>
      <c r="D210" s="2" t="s">
        <v>2605</v>
      </c>
      <c r="F210" s="3" t="s">
        <v>61</v>
      </c>
      <c r="G210" s="3" t="s">
        <v>60</v>
      </c>
      <c r="H210" s="3" t="s">
        <v>61</v>
      </c>
      <c r="I210" s="3" t="s">
        <v>61</v>
      </c>
      <c r="J210" s="3" t="s">
        <v>62</v>
      </c>
      <c r="K210" s="2" t="s">
        <v>2606</v>
      </c>
      <c r="L210" s="2" t="s">
        <v>2607</v>
      </c>
      <c r="M210" s="3" t="s">
        <v>2608</v>
      </c>
      <c r="O210" s="3" t="s">
        <v>114</v>
      </c>
      <c r="P210" s="3" t="s">
        <v>235</v>
      </c>
      <c r="Q210" s="2" t="s">
        <v>2609</v>
      </c>
      <c r="R210" s="3" t="s">
        <v>68</v>
      </c>
      <c r="S210" s="4">
        <v>2</v>
      </c>
      <c r="T210" s="4">
        <v>2</v>
      </c>
      <c r="U210" s="5" t="s">
        <v>771</v>
      </c>
      <c r="V210" s="5" t="s">
        <v>771</v>
      </c>
      <c r="W210" s="5" t="s">
        <v>2491</v>
      </c>
      <c r="X210" s="5" t="s">
        <v>2491</v>
      </c>
      <c r="Y210" s="4">
        <v>317</v>
      </c>
      <c r="Z210" s="4">
        <v>286</v>
      </c>
      <c r="AA210" s="4">
        <v>445</v>
      </c>
      <c r="AB210" s="4">
        <v>2</v>
      </c>
      <c r="AC210" s="4">
        <v>3</v>
      </c>
      <c r="AD210" s="4">
        <v>25</v>
      </c>
      <c r="AE210" s="4">
        <v>34</v>
      </c>
      <c r="AF210" s="4">
        <v>7</v>
      </c>
      <c r="AG210" s="4">
        <v>11</v>
      </c>
      <c r="AH210" s="4">
        <v>7</v>
      </c>
      <c r="AI210" s="4">
        <v>9</v>
      </c>
      <c r="AJ210" s="4">
        <v>18</v>
      </c>
      <c r="AK210" s="4">
        <v>22</v>
      </c>
      <c r="AL210" s="4">
        <v>1</v>
      </c>
      <c r="AM210" s="4">
        <v>2</v>
      </c>
      <c r="AN210" s="4">
        <v>0</v>
      </c>
      <c r="AO210" s="4">
        <v>0</v>
      </c>
      <c r="AP210" s="3" t="s">
        <v>61</v>
      </c>
      <c r="AQ210" s="3" t="s">
        <v>59</v>
      </c>
      <c r="AR210" s="6" t="str">
        <f>HYPERLINK("http://catalog.hathitrust.org/Record/000434357","HathiTrust Record")</f>
        <v>HathiTrust Record</v>
      </c>
      <c r="AS210" s="6" t="str">
        <f>HYPERLINK("https://creighton-primo.hosted.exlibrisgroup.com/primo-explore/search?tab=default_tab&amp;search_scope=EVERYTHING&amp;vid=01CRU&amp;lang=en_US&amp;offset=0&amp;query=any,contains,991003714019702656","Catalog Record")</f>
        <v>Catalog Record</v>
      </c>
      <c r="AT210" s="6" t="str">
        <f>HYPERLINK("http://www.worldcat.org/oclc/1357346","WorldCat Record")</f>
        <v>WorldCat Record</v>
      </c>
      <c r="AU210" s="3" t="s">
        <v>2610</v>
      </c>
      <c r="AV210" s="3" t="s">
        <v>2611</v>
      </c>
      <c r="AW210" s="3" t="s">
        <v>2612</v>
      </c>
      <c r="AX210" s="3" t="s">
        <v>2612</v>
      </c>
      <c r="AY210" s="3" t="s">
        <v>2613</v>
      </c>
      <c r="AZ210" s="3" t="s">
        <v>75</v>
      </c>
      <c r="BC210" s="3" t="s">
        <v>2614</v>
      </c>
      <c r="BD210" s="3" t="s">
        <v>2615</v>
      </c>
    </row>
    <row r="211" spans="1:56" ht="44.25" customHeight="1" x14ac:dyDescent="0.25">
      <c r="A211" s="7" t="s">
        <v>61</v>
      </c>
      <c r="B211" s="2" t="s">
        <v>2616</v>
      </c>
      <c r="C211" s="2" t="s">
        <v>2617</v>
      </c>
      <c r="D211" s="2" t="s">
        <v>2618</v>
      </c>
      <c r="F211" s="3" t="s">
        <v>61</v>
      </c>
      <c r="G211" s="3" t="s">
        <v>60</v>
      </c>
      <c r="H211" s="3" t="s">
        <v>61</v>
      </c>
      <c r="I211" s="3" t="s">
        <v>61</v>
      </c>
      <c r="J211" s="3" t="s">
        <v>62</v>
      </c>
      <c r="K211" s="2" t="s">
        <v>2619</v>
      </c>
      <c r="L211" s="2" t="s">
        <v>2620</v>
      </c>
      <c r="M211" s="3" t="s">
        <v>884</v>
      </c>
      <c r="N211" s="2" t="s">
        <v>2621</v>
      </c>
      <c r="O211" s="3" t="s">
        <v>114</v>
      </c>
      <c r="P211" s="3" t="s">
        <v>235</v>
      </c>
      <c r="R211" s="3" t="s">
        <v>68</v>
      </c>
      <c r="S211" s="4">
        <v>8</v>
      </c>
      <c r="T211" s="4">
        <v>8</v>
      </c>
      <c r="U211" s="5" t="s">
        <v>2622</v>
      </c>
      <c r="V211" s="5" t="s">
        <v>2622</v>
      </c>
      <c r="W211" s="5" t="s">
        <v>2623</v>
      </c>
      <c r="X211" s="5" t="s">
        <v>2623</v>
      </c>
      <c r="Y211" s="4">
        <v>202</v>
      </c>
      <c r="Z211" s="4">
        <v>176</v>
      </c>
      <c r="AA211" s="4">
        <v>555</v>
      </c>
      <c r="AB211" s="4">
        <v>1</v>
      </c>
      <c r="AC211" s="4">
        <v>6</v>
      </c>
      <c r="AD211" s="4">
        <v>3</v>
      </c>
      <c r="AE211" s="4">
        <v>31</v>
      </c>
      <c r="AF211" s="4">
        <v>2</v>
      </c>
      <c r="AG211" s="4">
        <v>10</v>
      </c>
      <c r="AH211" s="4">
        <v>1</v>
      </c>
      <c r="AI211" s="4">
        <v>9</v>
      </c>
      <c r="AJ211" s="4">
        <v>1</v>
      </c>
      <c r="AK211" s="4">
        <v>18</v>
      </c>
      <c r="AL211" s="4">
        <v>0</v>
      </c>
      <c r="AM211" s="4">
        <v>4</v>
      </c>
      <c r="AN211" s="4">
        <v>0</v>
      </c>
      <c r="AO211" s="4">
        <v>0</v>
      </c>
      <c r="AP211" s="3" t="s">
        <v>61</v>
      </c>
      <c r="AQ211" s="3" t="s">
        <v>61</v>
      </c>
      <c r="AS211" s="6" t="str">
        <f>HYPERLINK("https://creighton-primo.hosted.exlibrisgroup.com/primo-explore/search?tab=default_tab&amp;search_scope=EVERYTHING&amp;vid=01CRU&amp;lang=en_US&amp;offset=0&amp;query=any,contains,991000727299702656","Catalog Record")</f>
        <v>Catalog Record</v>
      </c>
      <c r="AT211" s="6" t="str">
        <f>HYPERLINK("http://www.worldcat.org/oclc/128159","WorldCat Record")</f>
        <v>WorldCat Record</v>
      </c>
      <c r="AU211" s="3" t="s">
        <v>2624</v>
      </c>
      <c r="AV211" s="3" t="s">
        <v>2625</v>
      </c>
      <c r="AW211" s="3" t="s">
        <v>2626</v>
      </c>
      <c r="AX211" s="3" t="s">
        <v>2626</v>
      </c>
      <c r="AY211" s="3" t="s">
        <v>2627</v>
      </c>
      <c r="AZ211" s="3" t="s">
        <v>75</v>
      </c>
      <c r="BC211" s="3" t="s">
        <v>2628</v>
      </c>
      <c r="BD211" s="3" t="s">
        <v>2629</v>
      </c>
    </row>
    <row r="212" spans="1:56" ht="44.25" customHeight="1" x14ac:dyDescent="0.25">
      <c r="A212" s="7" t="s">
        <v>61</v>
      </c>
      <c r="B212" s="2" t="s">
        <v>2630</v>
      </c>
      <c r="C212" s="2" t="s">
        <v>2631</v>
      </c>
      <c r="D212" s="2" t="s">
        <v>2632</v>
      </c>
      <c r="F212" s="3" t="s">
        <v>61</v>
      </c>
      <c r="G212" s="3" t="s">
        <v>60</v>
      </c>
      <c r="H212" s="3" t="s">
        <v>61</v>
      </c>
      <c r="I212" s="3" t="s">
        <v>61</v>
      </c>
      <c r="J212" s="3" t="s">
        <v>62</v>
      </c>
      <c r="K212" s="2" t="s">
        <v>2633</v>
      </c>
      <c r="L212" s="2" t="s">
        <v>2634</v>
      </c>
      <c r="M212" s="3" t="s">
        <v>536</v>
      </c>
      <c r="N212" s="2" t="s">
        <v>2635</v>
      </c>
      <c r="O212" s="3" t="s">
        <v>114</v>
      </c>
      <c r="P212" s="3" t="s">
        <v>192</v>
      </c>
      <c r="R212" s="3" t="s">
        <v>68</v>
      </c>
      <c r="S212" s="4">
        <v>3</v>
      </c>
      <c r="T212" s="4">
        <v>3</v>
      </c>
      <c r="U212" s="5" t="s">
        <v>2636</v>
      </c>
      <c r="V212" s="5" t="s">
        <v>2636</v>
      </c>
      <c r="W212" s="5" t="s">
        <v>2637</v>
      </c>
      <c r="X212" s="5" t="s">
        <v>2637</v>
      </c>
      <c r="Y212" s="4">
        <v>316</v>
      </c>
      <c r="Z212" s="4">
        <v>251</v>
      </c>
      <c r="AA212" s="4">
        <v>770</v>
      </c>
      <c r="AB212" s="4">
        <v>4</v>
      </c>
      <c r="AC212" s="4">
        <v>7</v>
      </c>
      <c r="AD212" s="4">
        <v>17</v>
      </c>
      <c r="AE212" s="4">
        <v>39</v>
      </c>
      <c r="AF212" s="4">
        <v>11</v>
      </c>
      <c r="AG212" s="4">
        <v>17</v>
      </c>
      <c r="AH212" s="4">
        <v>3</v>
      </c>
      <c r="AI212" s="4">
        <v>8</v>
      </c>
      <c r="AJ212" s="4">
        <v>6</v>
      </c>
      <c r="AK212" s="4">
        <v>18</v>
      </c>
      <c r="AL212" s="4">
        <v>3</v>
      </c>
      <c r="AM212" s="4">
        <v>6</v>
      </c>
      <c r="AN212" s="4">
        <v>0</v>
      </c>
      <c r="AO212" s="4">
        <v>0</v>
      </c>
      <c r="AP212" s="3" t="s">
        <v>61</v>
      </c>
      <c r="AQ212" s="3" t="s">
        <v>59</v>
      </c>
      <c r="AR212" s="6" t="str">
        <f>HYPERLINK("http://catalog.hathitrust.org/Record/004953609","HathiTrust Record")</f>
        <v>HathiTrust Record</v>
      </c>
      <c r="AS212" s="6" t="str">
        <f>HYPERLINK("https://creighton-primo.hosted.exlibrisgroup.com/primo-explore/search?tab=default_tab&amp;search_scope=EVERYTHING&amp;vid=01CRU&amp;lang=en_US&amp;offset=0&amp;query=any,contains,991002897449702656","Catalog Record")</f>
        <v>Catalog Record</v>
      </c>
      <c r="AT212" s="6" t="str">
        <f>HYPERLINK("http://www.worldcat.org/oclc/38197435","WorldCat Record")</f>
        <v>WorldCat Record</v>
      </c>
      <c r="AU212" s="3" t="s">
        <v>2638</v>
      </c>
      <c r="AV212" s="3" t="s">
        <v>2639</v>
      </c>
      <c r="AW212" s="3" t="s">
        <v>2640</v>
      </c>
      <c r="AX212" s="3" t="s">
        <v>2640</v>
      </c>
      <c r="AY212" s="3" t="s">
        <v>2641</v>
      </c>
      <c r="AZ212" s="3" t="s">
        <v>75</v>
      </c>
      <c r="BB212" s="3" t="s">
        <v>2642</v>
      </c>
      <c r="BC212" s="3" t="s">
        <v>2643</v>
      </c>
      <c r="BD212" s="3" t="s">
        <v>2644</v>
      </c>
    </row>
    <row r="213" spans="1:56" ht="44.25" customHeight="1" x14ac:dyDescent="0.25">
      <c r="A213" s="7" t="s">
        <v>61</v>
      </c>
      <c r="B213" s="2" t="s">
        <v>2645</v>
      </c>
      <c r="C213" s="2" t="s">
        <v>2646</v>
      </c>
      <c r="D213" s="2" t="s">
        <v>2647</v>
      </c>
      <c r="F213" s="3" t="s">
        <v>61</v>
      </c>
      <c r="G213" s="3" t="s">
        <v>60</v>
      </c>
      <c r="H213" s="3" t="s">
        <v>59</v>
      </c>
      <c r="I213" s="3" t="s">
        <v>61</v>
      </c>
      <c r="J213" s="3" t="s">
        <v>62</v>
      </c>
      <c r="K213" s="2" t="s">
        <v>2648</v>
      </c>
      <c r="L213" s="2" t="s">
        <v>2649</v>
      </c>
      <c r="M213" s="3" t="s">
        <v>2650</v>
      </c>
      <c r="O213" s="3" t="s">
        <v>114</v>
      </c>
      <c r="P213" s="3" t="s">
        <v>115</v>
      </c>
      <c r="Q213" s="2" t="s">
        <v>2651</v>
      </c>
      <c r="R213" s="3" t="s">
        <v>68</v>
      </c>
      <c r="S213" s="4">
        <v>9</v>
      </c>
      <c r="T213" s="4">
        <v>10</v>
      </c>
      <c r="U213" s="5" t="s">
        <v>2652</v>
      </c>
      <c r="V213" s="5" t="s">
        <v>2652</v>
      </c>
      <c r="W213" s="5" t="s">
        <v>2653</v>
      </c>
      <c r="X213" s="5" t="s">
        <v>2653</v>
      </c>
      <c r="Y213" s="4">
        <v>424</v>
      </c>
      <c r="Z213" s="4">
        <v>331</v>
      </c>
      <c r="AA213" s="4">
        <v>640</v>
      </c>
      <c r="AB213" s="4">
        <v>3</v>
      </c>
      <c r="AC213" s="4">
        <v>5</v>
      </c>
      <c r="AD213" s="4">
        <v>27</v>
      </c>
      <c r="AE213" s="4">
        <v>45</v>
      </c>
      <c r="AF213" s="4">
        <v>9</v>
      </c>
      <c r="AG213" s="4">
        <v>15</v>
      </c>
      <c r="AH213" s="4">
        <v>8</v>
      </c>
      <c r="AI213" s="4">
        <v>11</v>
      </c>
      <c r="AJ213" s="4">
        <v>18</v>
      </c>
      <c r="AK213" s="4">
        <v>23</v>
      </c>
      <c r="AL213" s="4">
        <v>2</v>
      </c>
      <c r="AM213" s="4">
        <v>3</v>
      </c>
      <c r="AN213" s="4">
        <v>0</v>
      </c>
      <c r="AO213" s="4">
        <v>5</v>
      </c>
      <c r="AP213" s="3" t="s">
        <v>59</v>
      </c>
      <c r="AQ213" s="3" t="s">
        <v>61</v>
      </c>
      <c r="AR213" s="6" t="str">
        <f>HYPERLINK("http://catalog.hathitrust.org/Record/000672292","HathiTrust Record")</f>
        <v>HathiTrust Record</v>
      </c>
      <c r="AS213" s="6" t="str">
        <f>HYPERLINK("https://creighton-primo.hosted.exlibrisgroup.com/primo-explore/search?tab=default_tab&amp;search_scope=EVERYTHING&amp;vid=01CRU&amp;lang=en_US&amp;offset=0&amp;query=any,contains,991003948259702656","Catalog Record")</f>
        <v>Catalog Record</v>
      </c>
      <c r="AT213" s="6" t="str">
        <f>HYPERLINK("http://www.worldcat.org/oclc/1950216","WorldCat Record")</f>
        <v>WorldCat Record</v>
      </c>
      <c r="AU213" s="3" t="s">
        <v>2654</v>
      </c>
      <c r="AV213" s="3" t="s">
        <v>2655</v>
      </c>
      <c r="AW213" s="3" t="s">
        <v>2656</v>
      </c>
      <c r="AX213" s="3" t="s">
        <v>2656</v>
      </c>
      <c r="AY213" s="3" t="s">
        <v>2657</v>
      </c>
      <c r="AZ213" s="3" t="s">
        <v>75</v>
      </c>
      <c r="BC213" s="3" t="s">
        <v>2658</v>
      </c>
      <c r="BD213" s="3" t="s">
        <v>2659</v>
      </c>
    </row>
    <row r="214" spans="1:56" ht="44.25" customHeight="1" x14ac:dyDescent="0.25">
      <c r="A214" s="7" t="s">
        <v>61</v>
      </c>
      <c r="B214" s="2" t="s">
        <v>2645</v>
      </c>
      <c r="C214" s="2" t="s">
        <v>2646</v>
      </c>
      <c r="D214" s="2" t="s">
        <v>2647</v>
      </c>
      <c r="F214" s="3" t="s">
        <v>61</v>
      </c>
      <c r="G214" s="3" t="s">
        <v>60</v>
      </c>
      <c r="H214" s="3" t="s">
        <v>59</v>
      </c>
      <c r="I214" s="3" t="s">
        <v>61</v>
      </c>
      <c r="J214" s="3" t="s">
        <v>62</v>
      </c>
      <c r="K214" s="2" t="s">
        <v>2648</v>
      </c>
      <c r="L214" s="2" t="s">
        <v>2649</v>
      </c>
      <c r="M214" s="3" t="s">
        <v>2650</v>
      </c>
      <c r="O214" s="3" t="s">
        <v>114</v>
      </c>
      <c r="P214" s="3" t="s">
        <v>115</v>
      </c>
      <c r="Q214" s="2" t="s">
        <v>2651</v>
      </c>
      <c r="R214" s="3" t="s">
        <v>68</v>
      </c>
      <c r="S214" s="4">
        <v>1</v>
      </c>
      <c r="T214" s="4">
        <v>10</v>
      </c>
      <c r="V214" s="5" t="s">
        <v>2652</v>
      </c>
      <c r="W214" s="5" t="s">
        <v>2653</v>
      </c>
      <c r="X214" s="5" t="s">
        <v>2653</v>
      </c>
      <c r="Y214" s="4">
        <v>424</v>
      </c>
      <c r="Z214" s="4">
        <v>331</v>
      </c>
      <c r="AA214" s="4">
        <v>640</v>
      </c>
      <c r="AB214" s="4">
        <v>3</v>
      </c>
      <c r="AC214" s="4">
        <v>5</v>
      </c>
      <c r="AD214" s="4">
        <v>27</v>
      </c>
      <c r="AE214" s="4">
        <v>45</v>
      </c>
      <c r="AF214" s="4">
        <v>9</v>
      </c>
      <c r="AG214" s="4">
        <v>15</v>
      </c>
      <c r="AH214" s="4">
        <v>8</v>
      </c>
      <c r="AI214" s="4">
        <v>11</v>
      </c>
      <c r="AJ214" s="4">
        <v>18</v>
      </c>
      <c r="AK214" s="4">
        <v>23</v>
      </c>
      <c r="AL214" s="4">
        <v>2</v>
      </c>
      <c r="AM214" s="4">
        <v>3</v>
      </c>
      <c r="AN214" s="4">
        <v>0</v>
      </c>
      <c r="AO214" s="4">
        <v>5</v>
      </c>
      <c r="AP214" s="3" t="s">
        <v>59</v>
      </c>
      <c r="AQ214" s="3" t="s">
        <v>61</v>
      </c>
      <c r="AR214" s="6" t="str">
        <f>HYPERLINK("http://catalog.hathitrust.org/Record/000672292","HathiTrust Record")</f>
        <v>HathiTrust Record</v>
      </c>
      <c r="AS214" s="6" t="str">
        <f>HYPERLINK("https://creighton-primo.hosted.exlibrisgroup.com/primo-explore/search?tab=default_tab&amp;search_scope=EVERYTHING&amp;vid=01CRU&amp;lang=en_US&amp;offset=0&amp;query=any,contains,991003948259702656","Catalog Record")</f>
        <v>Catalog Record</v>
      </c>
      <c r="AT214" s="6" t="str">
        <f>HYPERLINK("http://www.worldcat.org/oclc/1950216","WorldCat Record")</f>
        <v>WorldCat Record</v>
      </c>
      <c r="AU214" s="3" t="s">
        <v>2654</v>
      </c>
      <c r="AV214" s="3" t="s">
        <v>2655</v>
      </c>
      <c r="AW214" s="3" t="s">
        <v>2656</v>
      </c>
      <c r="AX214" s="3" t="s">
        <v>2656</v>
      </c>
      <c r="AY214" s="3" t="s">
        <v>2657</v>
      </c>
      <c r="AZ214" s="3" t="s">
        <v>75</v>
      </c>
      <c r="BC214" s="3" t="s">
        <v>2660</v>
      </c>
      <c r="BD214" s="3" t="s">
        <v>2661</v>
      </c>
    </row>
    <row r="215" spans="1:56" ht="44.25" customHeight="1" x14ac:dyDescent="0.25">
      <c r="A215" s="7" t="s">
        <v>61</v>
      </c>
      <c r="B215" s="2" t="s">
        <v>2662</v>
      </c>
      <c r="C215" s="2" t="s">
        <v>2663</v>
      </c>
      <c r="D215" s="2" t="s">
        <v>2664</v>
      </c>
      <c r="F215" s="3" t="s">
        <v>61</v>
      </c>
      <c r="G215" s="3" t="s">
        <v>60</v>
      </c>
      <c r="H215" s="3" t="s">
        <v>59</v>
      </c>
      <c r="I215" s="3" t="s">
        <v>61</v>
      </c>
      <c r="J215" s="3" t="s">
        <v>62</v>
      </c>
      <c r="K215" s="2" t="s">
        <v>2665</v>
      </c>
      <c r="L215" s="2" t="s">
        <v>2666</v>
      </c>
      <c r="M215" s="3" t="s">
        <v>466</v>
      </c>
      <c r="O215" s="3" t="s">
        <v>114</v>
      </c>
      <c r="P215" s="3" t="s">
        <v>1225</v>
      </c>
      <c r="Q215" s="2" t="s">
        <v>2667</v>
      </c>
      <c r="R215" s="3" t="s">
        <v>68</v>
      </c>
      <c r="S215" s="4">
        <v>3</v>
      </c>
      <c r="T215" s="4">
        <v>5</v>
      </c>
      <c r="U215" s="5" t="s">
        <v>2652</v>
      </c>
      <c r="V215" s="5" t="s">
        <v>2652</v>
      </c>
      <c r="W215" s="5" t="s">
        <v>1732</v>
      </c>
      <c r="X215" s="5" t="s">
        <v>1732</v>
      </c>
      <c r="Y215" s="4">
        <v>303</v>
      </c>
      <c r="Z215" s="4">
        <v>213</v>
      </c>
      <c r="AA215" s="4">
        <v>216</v>
      </c>
      <c r="AB215" s="4">
        <v>2</v>
      </c>
      <c r="AC215" s="4">
        <v>2</v>
      </c>
      <c r="AD215" s="4">
        <v>10</v>
      </c>
      <c r="AE215" s="4">
        <v>10</v>
      </c>
      <c r="AF215" s="4">
        <v>2</v>
      </c>
      <c r="AG215" s="4">
        <v>2</v>
      </c>
      <c r="AH215" s="4">
        <v>2</v>
      </c>
      <c r="AI215" s="4">
        <v>2</v>
      </c>
      <c r="AJ215" s="4">
        <v>8</v>
      </c>
      <c r="AK215" s="4">
        <v>8</v>
      </c>
      <c r="AL215" s="4">
        <v>1</v>
      </c>
      <c r="AM215" s="4">
        <v>1</v>
      </c>
      <c r="AN215" s="4">
        <v>0</v>
      </c>
      <c r="AO215" s="4">
        <v>0</v>
      </c>
      <c r="AP215" s="3" t="s">
        <v>61</v>
      </c>
      <c r="AQ215" s="3" t="s">
        <v>59</v>
      </c>
      <c r="AR215" s="6" t="str">
        <f>HYPERLINK("http://catalog.hathitrust.org/Record/000302192","HathiTrust Record")</f>
        <v>HathiTrust Record</v>
      </c>
      <c r="AS215" s="6" t="str">
        <f>HYPERLINK("https://creighton-primo.hosted.exlibrisgroup.com/primo-explore/search?tab=default_tab&amp;search_scope=EVERYTHING&amp;vid=01CRU&amp;lang=en_US&amp;offset=0&amp;query=any,contains,991004487039702656","Catalog Record")</f>
        <v>Catalog Record</v>
      </c>
      <c r="AT215" s="6" t="str">
        <f>HYPERLINK("http://www.worldcat.org/oclc/3649724","WorldCat Record")</f>
        <v>WorldCat Record</v>
      </c>
      <c r="AU215" s="3" t="s">
        <v>2668</v>
      </c>
      <c r="AV215" s="3" t="s">
        <v>2669</v>
      </c>
      <c r="AW215" s="3" t="s">
        <v>2670</v>
      </c>
      <c r="AX215" s="3" t="s">
        <v>2670</v>
      </c>
      <c r="AY215" s="3" t="s">
        <v>2671</v>
      </c>
      <c r="AZ215" s="3" t="s">
        <v>75</v>
      </c>
      <c r="BB215" s="3" t="s">
        <v>2672</v>
      </c>
      <c r="BC215" s="3" t="s">
        <v>2673</v>
      </c>
      <c r="BD215" s="3" t="s">
        <v>2674</v>
      </c>
    </row>
    <row r="216" spans="1:56" ht="44.25" customHeight="1" x14ac:dyDescent="0.25">
      <c r="A216" s="7" t="s">
        <v>61</v>
      </c>
      <c r="B216" s="2" t="s">
        <v>2675</v>
      </c>
      <c r="C216" s="2" t="s">
        <v>2676</v>
      </c>
      <c r="D216" s="2" t="s">
        <v>2664</v>
      </c>
      <c r="E216" s="3" t="s">
        <v>2677</v>
      </c>
      <c r="F216" s="3" t="s">
        <v>61</v>
      </c>
      <c r="G216" s="3" t="s">
        <v>60</v>
      </c>
      <c r="H216" s="3" t="s">
        <v>61</v>
      </c>
      <c r="I216" s="3" t="s">
        <v>61</v>
      </c>
      <c r="J216" s="3" t="s">
        <v>62</v>
      </c>
      <c r="K216" s="2" t="s">
        <v>2665</v>
      </c>
      <c r="L216" s="2" t="s">
        <v>2666</v>
      </c>
      <c r="M216" s="3" t="s">
        <v>466</v>
      </c>
      <c r="O216" s="3" t="s">
        <v>114</v>
      </c>
      <c r="P216" s="3" t="s">
        <v>1225</v>
      </c>
      <c r="Q216" s="2" t="s">
        <v>2667</v>
      </c>
      <c r="R216" s="3" t="s">
        <v>68</v>
      </c>
      <c r="S216" s="4">
        <v>2</v>
      </c>
      <c r="T216" s="4">
        <v>5</v>
      </c>
      <c r="U216" s="5" t="s">
        <v>2652</v>
      </c>
      <c r="V216" s="5" t="s">
        <v>2652</v>
      </c>
      <c r="W216" s="5" t="s">
        <v>1732</v>
      </c>
      <c r="X216" s="5" t="s">
        <v>1732</v>
      </c>
      <c r="Y216" s="4">
        <v>303</v>
      </c>
      <c r="Z216" s="4">
        <v>213</v>
      </c>
      <c r="AA216" s="4">
        <v>216</v>
      </c>
      <c r="AB216" s="4">
        <v>2</v>
      </c>
      <c r="AC216" s="4">
        <v>2</v>
      </c>
      <c r="AD216" s="4">
        <v>10</v>
      </c>
      <c r="AE216" s="4">
        <v>10</v>
      </c>
      <c r="AF216" s="4">
        <v>2</v>
      </c>
      <c r="AG216" s="4">
        <v>2</v>
      </c>
      <c r="AH216" s="4">
        <v>2</v>
      </c>
      <c r="AI216" s="4">
        <v>2</v>
      </c>
      <c r="AJ216" s="4">
        <v>8</v>
      </c>
      <c r="AK216" s="4">
        <v>8</v>
      </c>
      <c r="AL216" s="4">
        <v>1</v>
      </c>
      <c r="AM216" s="4">
        <v>1</v>
      </c>
      <c r="AN216" s="4">
        <v>0</v>
      </c>
      <c r="AO216" s="4">
        <v>0</v>
      </c>
      <c r="AP216" s="3" t="s">
        <v>61</v>
      </c>
      <c r="AQ216" s="3" t="s">
        <v>59</v>
      </c>
      <c r="AR216" s="6" t="str">
        <f>HYPERLINK("http://catalog.hathitrust.org/Record/000302192","HathiTrust Record")</f>
        <v>HathiTrust Record</v>
      </c>
      <c r="AS216" s="6" t="str">
        <f>HYPERLINK("https://creighton-primo.hosted.exlibrisgroup.com/primo-explore/search?tab=default_tab&amp;search_scope=EVERYTHING&amp;vid=01CRU&amp;lang=en_US&amp;offset=0&amp;query=any,contains,991004487039702656","Catalog Record")</f>
        <v>Catalog Record</v>
      </c>
      <c r="AT216" s="6" t="str">
        <f>HYPERLINK("http://www.worldcat.org/oclc/3649724","WorldCat Record")</f>
        <v>WorldCat Record</v>
      </c>
      <c r="AU216" s="3" t="s">
        <v>2668</v>
      </c>
      <c r="AV216" s="3" t="s">
        <v>2669</v>
      </c>
      <c r="AW216" s="3" t="s">
        <v>2670</v>
      </c>
      <c r="AX216" s="3" t="s">
        <v>2670</v>
      </c>
      <c r="AY216" s="3" t="s">
        <v>2671</v>
      </c>
      <c r="AZ216" s="3" t="s">
        <v>75</v>
      </c>
      <c r="BB216" s="3" t="s">
        <v>2672</v>
      </c>
      <c r="BC216" s="3" t="s">
        <v>2678</v>
      </c>
      <c r="BD216" s="3" t="s">
        <v>2679</v>
      </c>
    </row>
    <row r="217" spans="1:56" ht="44.25" customHeight="1" x14ac:dyDescent="0.25">
      <c r="A217" s="7" t="s">
        <v>61</v>
      </c>
      <c r="B217" s="2" t="s">
        <v>2680</v>
      </c>
      <c r="C217" s="2" t="s">
        <v>2681</v>
      </c>
      <c r="D217" s="2" t="s">
        <v>2682</v>
      </c>
      <c r="F217" s="3" t="s">
        <v>61</v>
      </c>
      <c r="G217" s="3" t="s">
        <v>60</v>
      </c>
      <c r="H217" s="3" t="s">
        <v>61</v>
      </c>
      <c r="I217" s="3" t="s">
        <v>61</v>
      </c>
      <c r="J217" s="3" t="s">
        <v>62</v>
      </c>
      <c r="K217" s="2" t="s">
        <v>2683</v>
      </c>
      <c r="L217" s="2" t="s">
        <v>2473</v>
      </c>
      <c r="M217" s="3" t="s">
        <v>379</v>
      </c>
      <c r="O217" s="3" t="s">
        <v>114</v>
      </c>
      <c r="P217" s="3" t="s">
        <v>192</v>
      </c>
      <c r="R217" s="3" t="s">
        <v>68</v>
      </c>
      <c r="S217" s="4">
        <v>5</v>
      </c>
      <c r="T217" s="4">
        <v>5</v>
      </c>
      <c r="U217" s="5" t="s">
        <v>2684</v>
      </c>
      <c r="V217" s="5" t="s">
        <v>2684</v>
      </c>
      <c r="W217" s="5" t="s">
        <v>2685</v>
      </c>
      <c r="X217" s="5" t="s">
        <v>2685</v>
      </c>
      <c r="Y217" s="4">
        <v>429</v>
      </c>
      <c r="Z217" s="4">
        <v>305</v>
      </c>
      <c r="AA217" s="4">
        <v>319</v>
      </c>
      <c r="AB217" s="4">
        <v>3</v>
      </c>
      <c r="AC217" s="4">
        <v>3</v>
      </c>
      <c r="AD217" s="4">
        <v>22</v>
      </c>
      <c r="AE217" s="4">
        <v>24</v>
      </c>
      <c r="AF217" s="4">
        <v>8</v>
      </c>
      <c r="AG217" s="4">
        <v>9</v>
      </c>
      <c r="AH217" s="4">
        <v>7</v>
      </c>
      <c r="AI217" s="4">
        <v>8</v>
      </c>
      <c r="AJ217" s="4">
        <v>11</v>
      </c>
      <c r="AK217" s="4">
        <v>12</v>
      </c>
      <c r="AL217" s="4">
        <v>1</v>
      </c>
      <c r="AM217" s="4">
        <v>1</v>
      </c>
      <c r="AN217" s="4">
        <v>0</v>
      </c>
      <c r="AO217" s="4">
        <v>0</v>
      </c>
      <c r="AP217" s="3" t="s">
        <v>61</v>
      </c>
      <c r="AQ217" s="3" t="s">
        <v>61</v>
      </c>
      <c r="AS217" s="6" t="str">
        <f>HYPERLINK("https://creighton-primo.hosted.exlibrisgroup.com/primo-explore/search?tab=default_tab&amp;search_scope=EVERYTHING&amp;vid=01CRU&amp;lang=en_US&amp;offset=0&amp;query=any,contains,991003695469702656","Catalog Record")</f>
        <v>Catalog Record</v>
      </c>
      <c r="AT217" s="6" t="str">
        <f>HYPERLINK("http://www.worldcat.org/oclc/41967018","WorldCat Record")</f>
        <v>WorldCat Record</v>
      </c>
      <c r="AU217" s="3" t="s">
        <v>2686</v>
      </c>
      <c r="AV217" s="3" t="s">
        <v>2687</v>
      </c>
      <c r="AW217" s="3" t="s">
        <v>2688</v>
      </c>
      <c r="AX217" s="3" t="s">
        <v>2688</v>
      </c>
      <c r="AY217" s="3" t="s">
        <v>2689</v>
      </c>
      <c r="AZ217" s="3" t="s">
        <v>75</v>
      </c>
      <c r="BB217" s="3" t="s">
        <v>2690</v>
      </c>
      <c r="BC217" s="3" t="s">
        <v>2691</v>
      </c>
      <c r="BD217" s="3" t="s">
        <v>2692</v>
      </c>
    </row>
    <row r="218" spans="1:56" ht="44.25" customHeight="1" x14ac:dyDescent="0.25">
      <c r="A218" s="7" t="s">
        <v>61</v>
      </c>
      <c r="B218" s="2" t="s">
        <v>2693</v>
      </c>
      <c r="C218" s="2" t="s">
        <v>2694</v>
      </c>
      <c r="D218" s="2" t="s">
        <v>2695</v>
      </c>
      <c r="F218" s="3" t="s">
        <v>61</v>
      </c>
      <c r="G218" s="3" t="s">
        <v>60</v>
      </c>
      <c r="H218" s="3" t="s">
        <v>61</v>
      </c>
      <c r="I218" s="3" t="s">
        <v>61</v>
      </c>
      <c r="J218" s="3" t="s">
        <v>62</v>
      </c>
      <c r="K218" s="2" t="s">
        <v>2696</v>
      </c>
      <c r="L218" s="2" t="s">
        <v>2697</v>
      </c>
      <c r="M218" s="3" t="s">
        <v>263</v>
      </c>
      <c r="O218" s="3" t="s">
        <v>114</v>
      </c>
      <c r="P218" s="3" t="s">
        <v>1114</v>
      </c>
      <c r="R218" s="3" t="s">
        <v>68</v>
      </c>
      <c r="S218" s="4">
        <v>13</v>
      </c>
      <c r="T218" s="4">
        <v>13</v>
      </c>
      <c r="U218" s="5" t="s">
        <v>2698</v>
      </c>
      <c r="V218" s="5" t="s">
        <v>2698</v>
      </c>
      <c r="W218" s="5" t="s">
        <v>2699</v>
      </c>
      <c r="X218" s="5" t="s">
        <v>2699</v>
      </c>
      <c r="Y218" s="4">
        <v>218</v>
      </c>
      <c r="Z218" s="4">
        <v>160</v>
      </c>
      <c r="AA218" s="4">
        <v>1081</v>
      </c>
      <c r="AB218" s="4">
        <v>2</v>
      </c>
      <c r="AC218" s="4">
        <v>6</v>
      </c>
      <c r="AD218" s="4">
        <v>9</v>
      </c>
      <c r="AE218" s="4">
        <v>42</v>
      </c>
      <c r="AF218" s="4">
        <v>3</v>
      </c>
      <c r="AG218" s="4">
        <v>20</v>
      </c>
      <c r="AH218" s="4">
        <v>0</v>
      </c>
      <c r="AI218" s="4">
        <v>10</v>
      </c>
      <c r="AJ218" s="4">
        <v>6</v>
      </c>
      <c r="AK218" s="4">
        <v>21</v>
      </c>
      <c r="AL218" s="4">
        <v>1</v>
      </c>
      <c r="AM218" s="4">
        <v>4</v>
      </c>
      <c r="AN218" s="4">
        <v>0</v>
      </c>
      <c r="AO218" s="4">
        <v>0</v>
      </c>
      <c r="AP218" s="3" t="s">
        <v>61</v>
      </c>
      <c r="AQ218" s="3" t="s">
        <v>61</v>
      </c>
      <c r="AS218" s="6" t="str">
        <f>HYPERLINK("https://creighton-primo.hosted.exlibrisgroup.com/primo-explore/search?tab=default_tab&amp;search_scope=EVERYTHING&amp;vid=01CRU&amp;lang=en_US&amp;offset=0&amp;query=any,contains,991005400399702656","Catalog Record")</f>
        <v>Catalog Record</v>
      </c>
      <c r="AT218" s="6" t="str">
        <f>HYPERLINK("http://www.worldcat.org/oclc/9092012","WorldCat Record")</f>
        <v>WorldCat Record</v>
      </c>
      <c r="AU218" s="3" t="s">
        <v>2700</v>
      </c>
      <c r="AV218" s="3" t="s">
        <v>2701</v>
      </c>
      <c r="AW218" s="3" t="s">
        <v>2702</v>
      </c>
      <c r="AX218" s="3" t="s">
        <v>2702</v>
      </c>
      <c r="AY218" s="3" t="s">
        <v>2703</v>
      </c>
      <c r="AZ218" s="3" t="s">
        <v>75</v>
      </c>
      <c r="BB218" s="3" t="s">
        <v>2704</v>
      </c>
      <c r="BC218" s="3" t="s">
        <v>2705</v>
      </c>
      <c r="BD218" s="3" t="s">
        <v>2706</v>
      </c>
    </row>
    <row r="219" spans="1:56" ht="44.25" customHeight="1" x14ac:dyDescent="0.25">
      <c r="A219" s="7" t="s">
        <v>61</v>
      </c>
      <c r="B219" s="2" t="s">
        <v>2707</v>
      </c>
      <c r="C219" s="2" t="s">
        <v>2708</v>
      </c>
      <c r="D219" s="2" t="s">
        <v>2709</v>
      </c>
      <c r="F219" s="3" t="s">
        <v>61</v>
      </c>
      <c r="G219" s="3" t="s">
        <v>60</v>
      </c>
      <c r="H219" s="3" t="s">
        <v>61</v>
      </c>
      <c r="I219" s="3" t="s">
        <v>61</v>
      </c>
      <c r="J219" s="3" t="s">
        <v>62</v>
      </c>
      <c r="K219" s="2" t="s">
        <v>2710</v>
      </c>
      <c r="L219" s="2" t="s">
        <v>2711</v>
      </c>
      <c r="M219" s="3" t="s">
        <v>451</v>
      </c>
      <c r="O219" s="3" t="s">
        <v>114</v>
      </c>
      <c r="P219" s="3" t="s">
        <v>437</v>
      </c>
      <c r="R219" s="3" t="s">
        <v>68</v>
      </c>
      <c r="S219" s="4">
        <v>2</v>
      </c>
      <c r="T219" s="4">
        <v>2</v>
      </c>
      <c r="U219" s="5" t="s">
        <v>2712</v>
      </c>
      <c r="V219" s="5" t="s">
        <v>2712</v>
      </c>
      <c r="W219" s="5" t="s">
        <v>2712</v>
      </c>
      <c r="X219" s="5" t="s">
        <v>2712</v>
      </c>
      <c r="Y219" s="4">
        <v>297</v>
      </c>
      <c r="Z219" s="4">
        <v>218</v>
      </c>
      <c r="AA219" s="4">
        <v>220</v>
      </c>
      <c r="AB219" s="4">
        <v>3</v>
      </c>
      <c r="AC219" s="4">
        <v>3</v>
      </c>
      <c r="AD219" s="4">
        <v>15</v>
      </c>
      <c r="AE219" s="4">
        <v>15</v>
      </c>
      <c r="AF219" s="4">
        <v>1</v>
      </c>
      <c r="AG219" s="4">
        <v>1</v>
      </c>
      <c r="AH219" s="4">
        <v>6</v>
      </c>
      <c r="AI219" s="4">
        <v>6</v>
      </c>
      <c r="AJ219" s="4">
        <v>8</v>
      </c>
      <c r="AK219" s="4">
        <v>8</v>
      </c>
      <c r="AL219" s="4">
        <v>2</v>
      </c>
      <c r="AM219" s="4">
        <v>2</v>
      </c>
      <c r="AN219" s="4">
        <v>0</v>
      </c>
      <c r="AO219" s="4">
        <v>0</v>
      </c>
      <c r="AP219" s="3" t="s">
        <v>61</v>
      </c>
      <c r="AQ219" s="3" t="s">
        <v>61</v>
      </c>
      <c r="AS219" s="6" t="str">
        <f>HYPERLINK("https://creighton-primo.hosted.exlibrisgroup.com/primo-explore/search?tab=default_tab&amp;search_scope=EVERYTHING&amp;vid=01CRU&amp;lang=en_US&amp;offset=0&amp;query=any,contains,991003349559702656","Catalog Record")</f>
        <v>Catalog Record</v>
      </c>
      <c r="AT219" s="6" t="str">
        <f>HYPERLINK("http://www.worldcat.org/oclc/40444152","WorldCat Record")</f>
        <v>WorldCat Record</v>
      </c>
      <c r="AU219" s="3" t="s">
        <v>2713</v>
      </c>
      <c r="AV219" s="3" t="s">
        <v>2714</v>
      </c>
      <c r="AW219" s="3" t="s">
        <v>2715</v>
      </c>
      <c r="AX219" s="3" t="s">
        <v>2715</v>
      </c>
      <c r="AY219" s="3" t="s">
        <v>2716</v>
      </c>
      <c r="AZ219" s="3" t="s">
        <v>75</v>
      </c>
      <c r="BB219" s="3" t="s">
        <v>2717</v>
      </c>
      <c r="BC219" s="3" t="s">
        <v>2718</v>
      </c>
      <c r="BD219" s="3" t="s">
        <v>2719</v>
      </c>
    </row>
    <row r="220" spans="1:56" ht="44.25" customHeight="1" x14ac:dyDescent="0.25">
      <c r="A220" s="7" t="s">
        <v>61</v>
      </c>
      <c r="B220" s="2" t="s">
        <v>2720</v>
      </c>
      <c r="C220" s="2" t="s">
        <v>2721</v>
      </c>
      <c r="D220" s="2" t="s">
        <v>2722</v>
      </c>
      <c r="F220" s="3" t="s">
        <v>61</v>
      </c>
      <c r="G220" s="3" t="s">
        <v>60</v>
      </c>
      <c r="H220" s="3" t="s">
        <v>61</v>
      </c>
      <c r="I220" s="3" t="s">
        <v>61</v>
      </c>
      <c r="J220" s="3" t="s">
        <v>62</v>
      </c>
      <c r="L220" s="2" t="s">
        <v>2723</v>
      </c>
      <c r="M220" s="3" t="s">
        <v>884</v>
      </c>
      <c r="O220" s="3" t="s">
        <v>114</v>
      </c>
      <c r="P220" s="3" t="s">
        <v>192</v>
      </c>
      <c r="Q220" s="2" t="s">
        <v>2724</v>
      </c>
      <c r="R220" s="3" t="s">
        <v>68</v>
      </c>
      <c r="S220" s="4">
        <v>2</v>
      </c>
      <c r="T220" s="4">
        <v>2</v>
      </c>
      <c r="U220" s="5" t="s">
        <v>2652</v>
      </c>
      <c r="V220" s="5" t="s">
        <v>2652</v>
      </c>
      <c r="W220" s="5" t="s">
        <v>2570</v>
      </c>
      <c r="X220" s="5" t="s">
        <v>2570</v>
      </c>
      <c r="Y220" s="4">
        <v>487</v>
      </c>
      <c r="Z220" s="4">
        <v>372</v>
      </c>
      <c r="AA220" s="4">
        <v>381</v>
      </c>
      <c r="AB220" s="4">
        <v>3</v>
      </c>
      <c r="AC220" s="4">
        <v>3</v>
      </c>
      <c r="AD220" s="4">
        <v>18</v>
      </c>
      <c r="AE220" s="4">
        <v>18</v>
      </c>
      <c r="AF220" s="4">
        <v>5</v>
      </c>
      <c r="AG220" s="4">
        <v>5</v>
      </c>
      <c r="AH220" s="4">
        <v>7</v>
      </c>
      <c r="AI220" s="4">
        <v>7</v>
      </c>
      <c r="AJ220" s="4">
        <v>10</v>
      </c>
      <c r="AK220" s="4">
        <v>10</v>
      </c>
      <c r="AL220" s="4">
        <v>2</v>
      </c>
      <c r="AM220" s="4">
        <v>2</v>
      </c>
      <c r="AN220" s="4">
        <v>0</v>
      </c>
      <c r="AO220" s="4">
        <v>0</v>
      </c>
      <c r="AP220" s="3" t="s">
        <v>61</v>
      </c>
      <c r="AQ220" s="3" t="s">
        <v>59</v>
      </c>
      <c r="AR220" s="6" t="str">
        <f>HYPERLINK("http://catalog.hathitrust.org/Record/001246654","HathiTrust Record")</f>
        <v>HathiTrust Record</v>
      </c>
      <c r="AS220" s="6" t="str">
        <f>HYPERLINK("https://creighton-primo.hosted.exlibrisgroup.com/primo-explore/search?tab=default_tab&amp;search_scope=EVERYTHING&amp;vid=01CRU&amp;lang=en_US&amp;offset=0&amp;query=any,contains,991000719679702656","Catalog Record")</f>
        <v>Catalog Record</v>
      </c>
      <c r="AT220" s="6" t="str">
        <f>HYPERLINK("http://www.worldcat.org/oclc/126412","WorldCat Record")</f>
        <v>WorldCat Record</v>
      </c>
      <c r="AU220" s="3" t="s">
        <v>2725</v>
      </c>
      <c r="AV220" s="3" t="s">
        <v>2726</v>
      </c>
      <c r="AW220" s="3" t="s">
        <v>2727</v>
      </c>
      <c r="AX220" s="3" t="s">
        <v>2727</v>
      </c>
      <c r="AY220" s="3" t="s">
        <v>2728</v>
      </c>
      <c r="AZ220" s="3" t="s">
        <v>75</v>
      </c>
      <c r="BB220" s="3" t="s">
        <v>2729</v>
      </c>
      <c r="BC220" s="3" t="s">
        <v>2730</v>
      </c>
      <c r="BD220" s="3" t="s">
        <v>2731</v>
      </c>
    </row>
    <row r="221" spans="1:56" ht="44.25" customHeight="1" x14ac:dyDescent="0.25">
      <c r="A221" s="7" t="s">
        <v>61</v>
      </c>
      <c r="B221" s="2" t="s">
        <v>2732</v>
      </c>
      <c r="C221" s="2" t="s">
        <v>2733</v>
      </c>
      <c r="D221" s="2" t="s">
        <v>2734</v>
      </c>
      <c r="E221" s="3" t="s">
        <v>2735</v>
      </c>
      <c r="F221" s="3" t="s">
        <v>61</v>
      </c>
      <c r="G221" s="3" t="s">
        <v>60</v>
      </c>
      <c r="H221" s="3" t="s">
        <v>61</v>
      </c>
      <c r="I221" s="3" t="s">
        <v>61</v>
      </c>
      <c r="J221" s="3" t="s">
        <v>62</v>
      </c>
      <c r="K221" s="2" t="s">
        <v>2736</v>
      </c>
      <c r="L221" s="2" t="s">
        <v>2737</v>
      </c>
      <c r="M221" s="3" t="s">
        <v>770</v>
      </c>
      <c r="O221" s="3" t="s">
        <v>114</v>
      </c>
      <c r="P221" s="3" t="s">
        <v>2351</v>
      </c>
      <c r="Q221" s="2" t="s">
        <v>2738</v>
      </c>
      <c r="R221" s="3" t="s">
        <v>68</v>
      </c>
      <c r="S221" s="4">
        <v>4</v>
      </c>
      <c r="T221" s="4">
        <v>4</v>
      </c>
      <c r="U221" s="5" t="s">
        <v>2739</v>
      </c>
      <c r="V221" s="5" t="s">
        <v>2739</v>
      </c>
      <c r="W221" s="5" t="s">
        <v>2740</v>
      </c>
      <c r="X221" s="5" t="s">
        <v>2740</v>
      </c>
      <c r="Y221" s="4">
        <v>538</v>
      </c>
      <c r="Z221" s="4">
        <v>374</v>
      </c>
      <c r="AA221" s="4">
        <v>374</v>
      </c>
      <c r="AB221" s="4">
        <v>3</v>
      </c>
      <c r="AC221" s="4">
        <v>3</v>
      </c>
      <c r="AD221" s="4">
        <v>20</v>
      </c>
      <c r="AE221" s="4">
        <v>20</v>
      </c>
      <c r="AF221" s="4">
        <v>4</v>
      </c>
      <c r="AG221" s="4">
        <v>4</v>
      </c>
      <c r="AH221" s="4">
        <v>6</v>
      </c>
      <c r="AI221" s="4">
        <v>6</v>
      </c>
      <c r="AJ221" s="4">
        <v>14</v>
      </c>
      <c r="AK221" s="4">
        <v>14</v>
      </c>
      <c r="AL221" s="4">
        <v>2</v>
      </c>
      <c r="AM221" s="4">
        <v>2</v>
      </c>
      <c r="AN221" s="4">
        <v>0</v>
      </c>
      <c r="AO221" s="4">
        <v>0</v>
      </c>
      <c r="AP221" s="3" t="s">
        <v>61</v>
      </c>
      <c r="AQ221" s="3" t="s">
        <v>61</v>
      </c>
      <c r="AS221" s="6" t="str">
        <f>HYPERLINK("https://creighton-primo.hosted.exlibrisgroup.com/primo-explore/search?tab=default_tab&amp;search_scope=EVERYTHING&amp;vid=01CRU&amp;lang=en_US&amp;offset=0&amp;query=any,contains,991003918409702656","Catalog Record")</f>
        <v>Catalog Record</v>
      </c>
      <c r="AT221" s="6" t="str">
        <f>HYPERLINK("http://www.worldcat.org/oclc/1863717","WorldCat Record")</f>
        <v>WorldCat Record</v>
      </c>
      <c r="AU221" s="3" t="s">
        <v>2741</v>
      </c>
      <c r="AV221" s="3" t="s">
        <v>2742</v>
      </c>
      <c r="AW221" s="3" t="s">
        <v>2743</v>
      </c>
      <c r="AX221" s="3" t="s">
        <v>2743</v>
      </c>
      <c r="AY221" s="3" t="s">
        <v>2744</v>
      </c>
      <c r="AZ221" s="3" t="s">
        <v>75</v>
      </c>
      <c r="BB221" s="3" t="s">
        <v>2745</v>
      </c>
      <c r="BC221" s="3" t="s">
        <v>2746</v>
      </c>
      <c r="BD221" s="3" t="s">
        <v>2747</v>
      </c>
    </row>
    <row r="222" spans="1:56" ht="44.25" customHeight="1" x14ac:dyDescent="0.25">
      <c r="A222" s="7" t="s">
        <v>61</v>
      </c>
      <c r="B222" s="2" t="s">
        <v>2748</v>
      </c>
      <c r="C222" s="2" t="s">
        <v>2749</v>
      </c>
      <c r="D222" s="2" t="s">
        <v>2750</v>
      </c>
      <c r="E222" s="3" t="s">
        <v>2751</v>
      </c>
      <c r="F222" s="3" t="s">
        <v>61</v>
      </c>
      <c r="G222" s="3" t="s">
        <v>60</v>
      </c>
      <c r="H222" s="3" t="s">
        <v>61</v>
      </c>
      <c r="I222" s="3" t="s">
        <v>61</v>
      </c>
      <c r="J222" s="3" t="s">
        <v>62</v>
      </c>
      <c r="K222" s="2" t="s">
        <v>2752</v>
      </c>
      <c r="L222" s="2" t="s">
        <v>2753</v>
      </c>
      <c r="M222" s="3" t="s">
        <v>466</v>
      </c>
      <c r="O222" s="3" t="s">
        <v>114</v>
      </c>
      <c r="P222" s="3" t="s">
        <v>2351</v>
      </c>
      <c r="Q222" s="2" t="s">
        <v>2754</v>
      </c>
      <c r="R222" s="3" t="s">
        <v>68</v>
      </c>
      <c r="S222" s="4">
        <v>10</v>
      </c>
      <c r="T222" s="4">
        <v>10</v>
      </c>
      <c r="U222" s="5" t="s">
        <v>2755</v>
      </c>
      <c r="V222" s="5" t="s">
        <v>2755</v>
      </c>
      <c r="W222" s="5" t="s">
        <v>2756</v>
      </c>
      <c r="X222" s="5" t="s">
        <v>2756</v>
      </c>
      <c r="Y222" s="4">
        <v>445</v>
      </c>
      <c r="Z222" s="4">
        <v>302</v>
      </c>
      <c r="AA222" s="4">
        <v>509</v>
      </c>
      <c r="AB222" s="4">
        <v>2</v>
      </c>
      <c r="AC222" s="4">
        <v>2</v>
      </c>
      <c r="AD222" s="4">
        <v>17</v>
      </c>
      <c r="AE222" s="4">
        <v>27</v>
      </c>
      <c r="AF222" s="4">
        <v>7</v>
      </c>
      <c r="AG222" s="4">
        <v>13</v>
      </c>
      <c r="AH222" s="4">
        <v>7</v>
      </c>
      <c r="AI222" s="4">
        <v>9</v>
      </c>
      <c r="AJ222" s="4">
        <v>8</v>
      </c>
      <c r="AK222" s="4">
        <v>13</v>
      </c>
      <c r="AL222" s="4">
        <v>1</v>
      </c>
      <c r="AM222" s="4">
        <v>1</v>
      </c>
      <c r="AN222" s="4">
        <v>0</v>
      </c>
      <c r="AO222" s="4">
        <v>0</v>
      </c>
      <c r="AP222" s="3" t="s">
        <v>61</v>
      </c>
      <c r="AQ222" s="3" t="s">
        <v>59</v>
      </c>
      <c r="AR222" s="6" t="str">
        <f>HYPERLINK("http://catalog.hathitrust.org/Record/000134785","HathiTrust Record")</f>
        <v>HathiTrust Record</v>
      </c>
      <c r="AS222" s="6" t="str">
        <f>HYPERLINK("https://creighton-primo.hosted.exlibrisgroup.com/primo-explore/search?tab=default_tab&amp;search_scope=EVERYTHING&amp;vid=01CRU&amp;lang=en_US&amp;offset=0&amp;query=any,contains,991005371569702656","Catalog Record")</f>
        <v>Catalog Record</v>
      </c>
      <c r="AT222" s="6" t="str">
        <f>HYPERLINK("http://www.worldcat.org/oclc/3832174","WorldCat Record")</f>
        <v>WorldCat Record</v>
      </c>
      <c r="AU222" s="3" t="s">
        <v>2757</v>
      </c>
      <c r="AV222" s="3" t="s">
        <v>2758</v>
      </c>
      <c r="AW222" s="3" t="s">
        <v>2759</v>
      </c>
      <c r="AX222" s="3" t="s">
        <v>2759</v>
      </c>
      <c r="AY222" s="3" t="s">
        <v>2760</v>
      </c>
      <c r="AZ222" s="3" t="s">
        <v>75</v>
      </c>
      <c r="BB222" s="3" t="s">
        <v>2761</v>
      </c>
      <c r="BC222" s="3" t="s">
        <v>2762</v>
      </c>
      <c r="BD222" s="3" t="s">
        <v>2763</v>
      </c>
    </row>
    <row r="223" spans="1:56" ht="44.25" customHeight="1" x14ac:dyDescent="0.25">
      <c r="A223" s="7" t="s">
        <v>61</v>
      </c>
      <c r="B223" s="2" t="s">
        <v>2764</v>
      </c>
      <c r="C223" s="2" t="s">
        <v>2765</v>
      </c>
      <c r="D223" s="2" t="s">
        <v>2766</v>
      </c>
      <c r="E223" s="3" t="s">
        <v>2767</v>
      </c>
      <c r="F223" s="3" t="s">
        <v>61</v>
      </c>
      <c r="G223" s="3" t="s">
        <v>60</v>
      </c>
      <c r="H223" s="3" t="s">
        <v>61</v>
      </c>
      <c r="I223" s="3" t="s">
        <v>59</v>
      </c>
      <c r="J223" s="3" t="s">
        <v>62</v>
      </c>
      <c r="K223" s="2" t="s">
        <v>2768</v>
      </c>
      <c r="L223" s="2" t="s">
        <v>2769</v>
      </c>
      <c r="M223" s="3" t="s">
        <v>784</v>
      </c>
      <c r="O223" s="3" t="s">
        <v>114</v>
      </c>
      <c r="P223" s="3" t="s">
        <v>2351</v>
      </c>
      <c r="Q223" s="2" t="s">
        <v>2770</v>
      </c>
      <c r="R223" s="3" t="s">
        <v>68</v>
      </c>
      <c r="S223" s="4">
        <v>10</v>
      </c>
      <c r="T223" s="4">
        <v>10</v>
      </c>
      <c r="U223" s="5" t="s">
        <v>2771</v>
      </c>
      <c r="V223" s="5" t="s">
        <v>2771</v>
      </c>
      <c r="W223" s="5" t="s">
        <v>2756</v>
      </c>
      <c r="X223" s="5" t="s">
        <v>2756</v>
      </c>
      <c r="Y223" s="4">
        <v>696</v>
      </c>
      <c r="Z223" s="4">
        <v>527</v>
      </c>
      <c r="AA223" s="4">
        <v>776</v>
      </c>
      <c r="AB223" s="4">
        <v>5</v>
      </c>
      <c r="AC223" s="4">
        <v>5</v>
      </c>
      <c r="AD223" s="4">
        <v>36</v>
      </c>
      <c r="AE223" s="4">
        <v>44</v>
      </c>
      <c r="AF223" s="4">
        <v>14</v>
      </c>
      <c r="AG223" s="4">
        <v>22</v>
      </c>
      <c r="AH223" s="4">
        <v>9</v>
      </c>
      <c r="AI223" s="4">
        <v>10</v>
      </c>
      <c r="AJ223" s="4">
        <v>19</v>
      </c>
      <c r="AK223" s="4">
        <v>20</v>
      </c>
      <c r="AL223" s="4">
        <v>3</v>
      </c>
      <c r="AM223" s="4">
        <v>3</v>
      </c>
      <c r="AN223" s="4">
        <v>1</v>
      </c>
      <c r="AO223" s="4">
        <v>1</v>
      </c>
      <c r="AP223" s="3" t="s">
        <v>61</v>
      </c>
      <c r="AQ223" s="3" t="s">
        <v>61</v>
      </c>
      <c r="AS223" s="6" t="str">
        <f>HYPERLINK("https://creighton-primo.hosted.exlibrisgroup.com/primo-explore/search?tab=default_tab&amp;search_scope=EVERYTHING&amp;vid=01CRU&amp;lang=en_US&amp;offset=0&amp;query=any,contains,991002485719702656","Catalog Record")</f>
        <v>Catalog Record</v>
      </c>
      <c r="AT223" s="6" t="str">
        <f>HYPERLINK("http://www.worldcat.org/oclc/360865","WorldCat Record")</f>
        <v>WorldCat Record</v>
      </c>
      <c r="AU223" s="3" t="s">
        <v>2772</v>
      </c>
      <c r="AV223" s="3" t="s">
        <v>2773</v>
      </c>
      <c r="AW223" s="3" t="s">
        <v>2774</v>
      </c>
      <c r="AX223" s="3" t="s">
        <v>2774</v>
      </c>
      <c r="AY223" s="3" t="s">
        <v>2775</v>
      </c>
      <c r="AZ223" s="3" t="s">
        <v>75</v>
      </c>
      <c r="BB223" s="3" t="s">
        <v>2776</v>
      </c>
      <c r="BC223" s="3" t="s">
        <v>2777</v>
      </c>
      <c r="BD223" s="3" t="s">
        <v>2778</v>
      </c>
    </row>
    <row r="224" spans="1:56" ht="44.25" customHeight="1" x14ac:dyDescent="0.25">
      <c r="A224" s="7" t="s">
        <v>61</v>
      </c>
      <c r="B224" s="2" t="s">
        <v>2779</v>
      </c>
      <c r="C224" s="2" t="s">
        <v>2780</v>
      </c>
      <c r="D224" s="2" t="s">
        <v>2781</v>
      </c>
      <c r="F224" s="3" t="s">
        <v>61</v>
      </c>
      <c r="G224" s="3" t="s">
        <v>60</v>
      </c>
      <c r="H224" s="3" t="s">
        <v>61</v>
      </c>
      <c r="I224" s="3" t="s">
        <v>61</v>
      </c>
      <c r="J224" s="3" t="s">
        <v>62</v>
      </c>
      <c r="K224" s="2" t="s">
        <v>2782</v>
      </c>
      <c r="L224" s="2" t="s">
        <v>2783</v>
      </c>
      <c r="M224" s="3" t="s">
        <v>1185</v>
      </c>
      <c r="O224" s="3" t="s">
        <v>114</v>
      </c>
      <c r="P224" s="3" t="s">
        <v>2784</v>
      </c>
      <c r="R224" s="3" t="s">
        <v>68</v>
      </c>
      <c r="S224" s="4">
        <v>2</v>
      </c>
      <c r="T224" s="4">
        <v>2</v>
      </c>
      <c r="U224" s="5" t="s">
        <v>2785</v>
      </c>
      <c r="V224" s="5" t="s">
        <v>2785</v>
      </c>
      <c r="W224" s="5" t="s">
        <v>2570</v>
      </c>
      <c r="X224" s="5" t="s">
        <v>2570</v>
      </c>
      <c r="Y224" s="4">
        <v>460</v>
      </c>
      <c r="Z224" s="4">
        <v>426</v>
      </c>
      <c r="AA224" s="4">
        <v>435</v>
      </c>
      <c r="AB224" s="4">
        <v>3</v>
      </c>
      <c r="AC224" s="4">
        <v>3</v>
      </c>
      <c r="AD224" s="4">
        <v>18</v>
      </c>
      <c r="AE224" s="4">
        <v>18</v>
      </c>
      <c r="AF224" s="4">
        <v>6</v>
      </c>
      <c r="AG224" s="4">
        <v>6</v>
      </c>
      <c r="AH224" s="4">
        <v>5</v>
      </c>
      <c r="AI224" s="4">
        <v>5</v>
      </c>
      <c r="AJ224" s="4">
        <v>12</v>
      </c>
      <c r="AK224" s="4">
        <v>12</v>
      </c>
      <c r="AL224" s="4">
        <v>2</v>
      </c>
      <c r="AM224" s="4">
        <v>2</v>
      </c>
      <c r="AN224" s="4">
        <v>0</v>
      </c>
      <c r="AO224" s="4">
        <v>0</v>
      </c>
      <c r="AP224" s="3" t="s">
        <v>61</v>
      </c>
      <c r="AQ224" s="3" t="s">
        <v>61</v>
      </c>
      <c r="AR224" s="6" t="str">
        <f>HYPERLINK("http://catalog.hathitrust.org/Record/000631789","HathiTrust Record")</f>
        <v>HathiTrust Record</v>
      </c>
      <c r="AS224" s="6" t="str">
        <f>HYPERLINK("https://creighton-primo.hosted.exlibrisgroup.com/primo-explore/search?tab=default_tab&amp;search_scope=EVERYTHING&amp;vid=01CRU&amp;lang=en_US&amp;offset=0&amp;query=any,contains,991003470719702656","Catalog Record")</f>
        <v>Catalog Record</v>
      </c>
      <c r="AT224" s="6" t="str">
        <f>HYPERLINK("http://www.worldcat.org/oclc/1013098","WorldCat Record")</f>
        <v>WorldCat Record</v>
      </c>
      <c r="AU224" s="3" t="s">
        <v>2786</v>
      </c>
      <c r="AV224" s="3" t="s">
        <v>2787</v>
      </c>
      <c r="AW224" s="3" t="s">
        <v>2788</v>
      </c>
      <c r="AX224" s="3" t="s">
        <v>2788</v>
      </c>
      <c r="AY224" s="3" t="s">
        <v>2789</v>
      </c>
      <c r="AZ224" s="3" t="s">
        <v>75</v>
      </c>
      <c r="BC224" s="3" t="s">
        <v>2790</v>
      </c>
      <c r="BD224" s="3" t="s">
        <v>2791</v>
      </c>
    </row>
    <row r="225" spans="1:56" ht="44.25" customHeight="1" x14ac:dyDescent="0.25">
      <c r="A225" s="7" t="s">
        <v>61</v>
      </c>
      <c r="B225" s="2" t="s">
        <v>2792</v>
      </c>
      <c r="C225" s="2" t="s">
        <v>2793</v>
      </c>
      <c r="D225" s="2" t="s">
        <v>2794</v>
      </c>
      <c r="F225" s="3" t="s">
        <v>61</v>
      </c>
      <c r="G225" s="3" t="s">
        <v>60</v>
      </c>
      <c r="H225" s="3" t="s">
        <v>61</v>
      </c>
      <c r="I225" s="3" t="s">
        <v>61</v>
      </c>
      <c r="J225" s="3" t="s">
        <v>62</v>
      </c>
      <c r="K225" s="2" t="s">
        <v>2795</v>
      </c>
      <c r="L225" s="2" t="s">
        <v>2796</v>
      </c>
      <c r="M225" s="3" t="s">
        <v>2797</v>
      </c>
      <c r="N225" s="2" t="s">
        <v>2798</v>
      </c>
      <c r="O225" s="3" t="s">
        <v>114</v>
      </c>
      <c r="P225" s="3" t="s">
        <v>192</v>
      </c>
      <c r="R225" s="3" t="s">
        <v>68</v>
      </c>
      <c r="S225" s="4">
        <v>10</v>
      </c>
      <c r="T225" s="4">
        <v>10</v>
      </c>
      <c r="U225" s="5" t="s">
        <v>2698</v>
      </c>
      <c r="V225" s="5" t="s">
        <v>2698</v>
      </c>
      <c r="W225" s="5" t="s">
        <v>2799</v>
      </c>
      <c r="X225" s="5" t="s">
        <v>2799</v>
      </c>
      <c r="Y225" s="4">
        <v>349</v>
      </c>
      <c r="Z225" s="4">
        <v>273</v>
      </c>
      <c r="AA225" s="4">
        <v>710</v>
      </c>
      <c r="AB225" s="4">
        <v>3</v>
      </c>
      <c r="AC225" s="4">
        <v>4</v>
      </c>
      <c r="AD225" s="4">
        <v>15</v>
      </c>
      <c r="AE225" s="4">
        <v>29</v>
      </c>
      <c r="AF225" s="4">
        <v>6</v>
      </c>
      <c r="AG225" s="4">
        <v>13</v>
      </c>
      <c r="AH225" s="4">
        <v>1</v>
      </c>
      <c r="AI225" s="4">
        <v>5</v>
      </c>
      <c r="AJ225" s="4">
        <v>7</v>
      </c>
      <c r="AK225" s="4">
        <v>16</v>
      </c>
      <c r="AL225" s="4">
        <v>2</v>
      </c>
      <c r="AM225" s="4">
        <v>3</v>
      </c>
      <c r="AN225" s="4">
        <v>0</v>
      </c>
      <c r="AO225" s="4">
        <v>0</v>
      </c>
      <c r="AP225" s="3" t="s">
        <v>61</v>
      </c>
      <c r="AQ225" s="3" t="s">
        <v>59</v>
      </c>
      <c r="AR225" s="6" t="str">
        <f>HYPERLINK("http://catalog.hathitrust.org/Record/000631818","HathiTrust Record")</f>
        <v>HathiTrust Record</v>
      </c>
      <c r="AS225" s="6" t="str">
        <f>HYPERLINK("https://creighton-primo.hosted.exlibrisgroup.com/primo-explore/search?tab=default_tab&amp;search_scope=EVERYTHING&amp;vid=01CRU&amp;lang=en_US&amp;offset=0&amp;query=any,contains,991005353839702656","Catalog Record")</f>
        <v>Catalog Record</v>
      </c>
      <c r="AT225" s="6" t="str">
        <f>HYPERLINK("http://www.worldcat.org/oclc/4286080","WorldCat Record")</f>
        <v>WorldCat Record</v>
      </c>
      <c r="AU225" s="3" t="s">
        <v>2800</v>
      </c>
      <c r="AV225" s="3" t="s">
        <v>2801</v>
      </c>
      <c r="AW225" s="3" t="s">
        <v>2802</v>
      </c>
      <c r="AX225" s="3" t="s">
        <v>2802</v>
      </c>
      <c r="AY225" s="3" t="s">
        <v>2803</v>
      </c>
      <c r="AZ225" s="3" t="s">
        <v>75</v>
      </c>
      <c r="BC225" s="3" t="s">
        <v>2804</v>
      </c>
      <c r="BD225" s="3" t="s">
        <v>2805</v>
      </c>
    </row>
    <row r="226" spans="1:56" ht="44.25" customHeight="1" x14ac:dyDescent="0.25">
      <c r="A226" s="7" t="s">
        <v>61</v>
      </c>
      <c r="B226" s="2" t="s">
        <v>2806</v>
      </c>
      <c r="C226" s="2" t="s">
        <v>2807</v>
      </c>
      <c r="D226" s="2" t="s">
        <v>2808</v>
      </c>
      <c r="F226" s="3" t="s">
        <v>61</v>
      </c>
      <c r="G226" s="3" t="s">
        <v>60</v>
      </c>
      <c r="H226" s="3" t="s">
        <v>61</v>
      </c>
      <c r="I226" s="3" t="s">
        <v>61</v>
      </c>
      <c r="J226" s="3" t="s">
        <v>62</v>
      </c>
      <c r="K226" s="2" t="s">
        <v>2809</v>
      </c>
      <c r="L226" s="2" t="s">
        <v>2810</v>
      </c>
      <c r="M226" s="3" t="s">
        <v>249</v>
      </c>
      <c r="O226" s="3" t="s">
        <v>114</v>
      </c>
      <c r="P226" s="3" t="s">
        <v>192</v>
      </c>
      <c r="R226" s="3" t="s">
        <v>68</v>
      </c>
      <c r="S226" s="4">
        <v>3</v>
      </c>
      <c r="T226" s="4">
        <v>3</v>
      </c>
      <c r="U226" s="5" t="s">
        <v>756</v>
      </c>
      <c r="V226" s="5" t="s">
        <v>756</v>
      </c>
      <c r="W226" s="5" t="s">
        <v>2811</v>
      </c>
      <c r="X226" s="5" t="s">
        <v>2811</v>
      </c>
      <c r="Y226" s="4">
        <v>103</v>
      </c>
      <c r="Z226" s="4">
        <v>19</v>
      </c>
      <c r="AA226" s="4">
        <v>535</v>
      </c>
      <c r="AB226" s="4">
        <v>1</v>
      </c>
      <c r="AC226" s="4">
        <v>2</v>
      </c>
      <c r="AD226" s="4">
        <v>1</v>
      </c>
      <c r="AE226" s="4">
        <v>6</v>
      </c>
      <c r="AF226" s="4">
        <v>0</v>
      </c>
      <c r="AG226" s="4">
        <v>2</v>
      </c>
      <c r="AH226" s="4">
        <v>1</v>
      </c>
      <c r="AI226" s="4">
        <v>3</v>
      </c>
      <c r="AJ226" s="4">
        <v>1</v>
      </c>
      <c r="AK226" s="4">
        <v>3</v>
      </c>
      <c r="AL226" s="4">
        <v>0</v>
      </c>
      <c r="AM226" s="4">
        <v>1</v>
      </c>
      <c r="AN226" s="4">
        <v>0</v>
      </c>
      <c r="AO226" s="4">
        <v>0</v>
      </c>
      <c r="AP226" s="3" t="s">
        <v>61</v>
      </c>
      <c r="AQ226" s="3" t="s">
        <v>61</v>
      </c>
      <c r="AS226" s="6" t="str">
        <f>HYPERLINK("https://creighton-primo.hosted.exlibrisgroup.com/primo-explore/search?tab=default_tab&amp;search_scope=EVERYTHING&amp;vid=01CRU&amp;lang=en_US&amp;offset=0&amp;query=any,contains,991002259349702656","Catalog Record")</f>
        <v>Catalog Record</v>
      </c>
      <c r="AT226" s="6" t="str">
        <f>HYPERLINK("http://www.worldcat.org/oclc/29287055","WorldCat Record")</f>
        <v>WorldCat Record</v>
      </c>
      <c r="AU226" s="3" t="s">
        <v>2812</v>
      </c>
      <c r="AV226" s="3" t="s">
        <v>2813</v>
      </c>
      <c r="AW226" s="3" t="s">
        <v>2814</v>
      </c>
      <c r="AX226" s="3" t="s">
        <v>2814</v>
      </c>
      <c r="AY226" s="3" t="s">
        <v>2815</v>
      </c>
      <c r="AZ226" s="3" t="s">
        <v>75</v>
      </c>
      <c r="BB226" s="3" t="s">
        <v>2816</v>
      </c>
      <c r="BC226" s="3" t="s">
        <v>2817</v>
      </c>
      <c r="BD226" s="3" t="s">
        <v>2818</v>
      </c>
    </row>
    <row r="227" spans="1:56" ht="44.25" customHeight="1" x14ac:dyDescent="0.25">
      <c r="A227" s="7" t="s">
        <v>61</v>
      </c>
      <c r="B227" s="2" t="s">
        <v>2819</v>
      </c>
      <c r="C227" s="2" t="s">
        <v>2820</v>
      </c>
      <c r="D227" s="2" t="s">
        <v>2821</v>
      </c>
      <c r="E227" s="3" t="s">
        <v>84</v>
      </c>
      <c r="F227" s="3" t="s">
        <v>61</v>
      </c>
      <c r="G227" s="3" t="s">
        <v>60</v>
      </c>
      <c r="H227" s="3" t="s">
        <v>61</v>
      </c>
      <c r="I227" s="3" t="s">
        <v>61</v>
      </c>
      <c r="J227" s="3" t="s">
        <v>62</v>
      </c>
      <c r="L227" s="2" t="s">
        <v>2822</v>
      </c>
      <c r="M227" s="3" t="s">
        <v>379</v>
      </c>
      <c r="O227" s="3" t="s">
        <v>114</v>
      </c>
      <c r="P227" s="3" t="s">
        <v>1007</v>
      </c>
      <c r="R227" s="3" t="s">
        <v>68</v>
      </c>
      <c r="S227" s="4">
        <v>2</v>
      </c>
      <c r="T227" s="4">
        <v>2</v>
      </c>
      <c r="U227" s="5" t="s">
        <v>2823</v>
      </c>
      <c r="V227" s="5" t="s">
        <v>2823</v>
      </c>
      <c r="W227" s="5" t="s">
        <v>2824</v>
      </c>
      <c r="X227" s="5" t="s">
        <v>2824</v>
      </c>
      <c r="Y227" s="4">
        <v>525</v>
      </c>
      <c r="Z227" s="4">
        <v>469</v>
      </c>
      <c r="AA227" s="4">
        <v>508</v>
      </c>
      <c r="AB227" s="4">
        <v>5</v>
      </c>
      <c r="AC227" s="4">
        <v>5</v>
      </c>
      <c r="AD227" s="4">
        <v>12</v>
      </c>
      <c r="AE227" s="4">
        <v>13</v>
      </c>
      <c r="AF227" s="4">
        <v>5</v>
      </c>
      <c r="AG227" s="4">
        <v>6</v>
      </c>
      <c r="AH227" s="4">
        <v>3</v>
      </c>
      <c r="AI227" s="4">
        <v>3</v>
      </c>
      <c r="AJ227" s="4">
        <v>5</v>
      </c>
      <c r="AK227" s="4">
        <v>6</v>
      </c>
      <c r="AL227" s="4">
        <v>3</v>
      </c>
      <c r="AM227" s="4">
        <v>3</v>
      </c>
      <c r="AN227" s="4">
        <v>0</v>
      </c>
      <c r="AO227" s="4">
        <v>0</v>
      </c>
      <c r="AP227" s="3" t="s">
        <v>61</v>
      </c>
      <c r="AQ227" s="3" t="s">
        <v>59</v>
      </c>
      <c r="AR227" s="6" t="str">
        <f>HYPERLINK("http://catalog.hathitrust.org/Record/004073973","HathiTrust Record")</f>
        <v>HathiTrust Record</v>
      </c>
      <c r="AS227" s="6" t="str">
        <f>HYPERLINK("https://creighton-primo.hosted.exlibrisgroup.com/primo-explore/search?tab=default_tab&amp;search_scope=EVERYTHING&amp;vid=01CRU&amp;lang=en_US&amp;offset=0&amp;query=any,contains,991003265129702656","Catalog Record")</f>
        <v>Catalog Record</v>
      </c>
      <c r="AT227" s="6" t="str">
        <f>HYPERLINK("http://www.worldcat.org/oclc/42806251","WorldCat Record")</f>
        <v>WorldCat Record</v>
      </c>
      <c r="AU227" s="3" t="s">
        <v>2825</v>
      </c>
      <c r="AV227" s="3" t="s">
        <v>2826</v>
      </c>
      <c r="AW227" s="3" t="s">
        <v>2827</v>
      </c>
      <c r="AX227" s="3" t="s">
        <v>2827</v>
      </c>
      <c r="AY227" s="3" t="s">
        <v>2828</v>
      </c>
      <c r="AZ227" s="3" t="s">
        <v>75</v>
      </c>
      <c r="BB227" s="3" t="s">
        <v>2829</v>
      </c>
      <c r="BC227" s="3" t="s">
        <v>2830</v>
      </c>
      <c r="BD227" s="3" t="s">
        <v>2831</v>
      </c>
    </row>
    <row r="228" spans="1:56" ht="44.25" customHeight="1" x14ac:dyDescent="0.25">
      <c r="A228" s="7" t="s">
        <v>61</v>
      </c>
      <c r="B228" s="2" t="s">
        <v>2832</v>
      </c>
      <c r="C228" s="2" t="s">
        <v>2833</v>
      </c>
      <c r="D228" s="2" t="s">
        <v>2834</v>
      </c>
      <c r="E228" s="3" t="s">
        <v>141</v>
      </c>
      <c r="F228" s="3" t="s">
        <v>59</v>
      </c>
      <c r="G228" s="3" t="s">
        <v>60</v>
      </c>
      <c r="H228" s="3" t="s">
        <v>61</v>
      </c>
      <c r="I228" s="3" t="s">
        <v>61</v>
      </c>
      <c r="J228" s="3" t="s">
        <v>62</v>
      </c>
      <c r="L228" s="2" t="s">
        <v>2835</v>
      </c>
      <c r="M228" s="3" t="s">
        <v>1198</v>
      </c>
      <c r="O228" s="3" t="s">
        <v>114</v>
      </c>
      <c r="P228" s="3" t="s">
        <v>67</v>
      </c>
      <c r="Q228" s="2" t="s">
        <v>2836</v>
      </c>
      <c r="R228" s="3" t="s">
        <v>68</v>
      </c>
      <c r="S228" s="4">
        <v>0</v>
      </c>
      <c r="T228" s="4">
        <v>2</v>
      </c>
      <c r="V228" s="5" t="s">
        <v>2837</v>
      </c>
      <c r="W228" s="5" t="s">
        <v>162</v>
      </c>
      <c r="X228" s="5" t="s">
        <v>162</v>
      </c>
      <c r="Y228" s="4">
        <v>394</v>
      </c>
      <c r="Z228" s="4">
        <v>364</v>
      </c>
      <c r="AA228" s="4">
        <v>371</v>
      </c>
      <c r="AB228" s="4">
        <v>5</v>
      </c>
      <c r="AC228" s="4">
        <v>5</v>
      </c>
      <c r="AD228" s="4">
        <v>19</v>
      </c>
      <c r="AE228" s="4">
        <v>19</v>
      </c>
      <c r="AF228" s="4">
        <v>7</v>
      </c>
      <c r="AG228" s="4">
        <v>7</v>
      </c>
      <c r="AH228" s="4">
        <v>3</v>
      </c>
      <c r="AI228" s="4">
        <v>3</v>
      </c>
      <c r="AJ228" s="4">
        <v>9</v>
      </c>
      <c r="AK228" s="4">
        <v>9</v>
      </c>
      <c r="AL228" s="4">
        <v>4</v>
      </c>
      <c r="AM228" s="4">
        <v>4</v>
      </c>
      <c r="AN228" s="4">
        <v>0</v>
      </c>
      <c r="AO228" s="4">
        <v>0</v>
      </c>
      <c r="AP228" s="3" t="s">
        <v>61</v>
      </c>
      <c r="AQ228" s="3" t="s">
        <v>59</v>
      </c>
      <c r="AR228" s="6" t="str">
        <f>HYPERLINK("http://catalog.hathitrust.org/Record/006720573","HathiTrust Record")</f>
        <v>HathiTrust Record</v>
      </c>
      <c r="AS228" s="6" t="str">
        <f>HYPERLINK("https://creighton-primo.hosted.exlibrisgroup.com/primo-explore/search?tab=default_tab&amp;search_scope=EVERYTHING&amp;vid=01CRU&amp;lang=en_US&amp;offset=0&amp;query=any,contains,991002928809702656","Catalog Record")</f>
        <v>Catalog Record</v>
      </c>
      <c r="AT228" s="6" t="str">
        <f>HYPERLINK("http://www.worldcat.org/oclc/530135","WorldCat Record")</f>
        <v>WorldCat Record</v>
      </c>
      <c r="AU228" s="3" t="s">
        <v>2838</v>
      </c>
      <c r="AV228" s="3" t="s">
        <v>2839</v>
      </c>
      <c r="AW228" s="3" t="s">
        <v>2840</v>
      </c>
      <c r="AX228" s="3" t="s">
        <v>2840</v>
      </c>
      <c r="AY228" s="3" t="s">
        <v>2841</v>
      </c>
      <c r="AZ228" s="3" t="s">
        <v>75</v>
      </c>
      <c r="BC228" s="3" t="s">
        <v>2842</v>
      </c>
      <c r="BD228" s="3" t="s">
        <v>2843</v>
      </c>
    </row>
    <row r="229" spans="1:56" ht="44.25" customHeight="1" x14ac:dyDescent="0.25">
      <c r="A229" s="7" t="s">
        <v>61</v>
      </c>
      <c r="B229" s="2" t="s">
        <v>2832</v>
      </c>
      <c r="C229" s="2" t="s">
        <v>2833</v>
      </c>
      <c r="D229" s="2" t="s">
        <v>2834</v>
      </c>
      <c r="E229" s="3" t="s">
        <v>84</v>
      </c>
      <c r="F229" s="3" t="s">
        <v>59</v>
      </c>
      <c r="G229" s="3" t="s">
        <v>60</v>
      </c>
      <c r="H229" s="3" t="s">
        <v>61</v>
      </c>
      <c r="I229" s="3" t="s">
        <v>61</v>
      </c>
      <c r="J229" s="3" t="s">
        <v>62</v>
      </c>
      <c r="L229" s="2" t="s">
        <v>2835</v>
      </c>
      <c r="M229" s="3" t="s">
        <v>1198</v>
      </c>
      <c r="O229" s="3" t="s">
        <v>114</v>
      </c>
      <c r="P229" s="3" t="s">
        <v>67</v>
      </c>
      <c r="Q229" s="2" t="s">
        <v>2836</v>
      </c>
      <c r="R229" s="3" t="s">
        <v>68</v>
      </c>
      <c r="S229" s="4">
        <v>2</v>
      </c>
      <c r="T229" s="4">
        <v>2</v>
      </c>
      <c r="U229" s="5" t="s">
        <v>2837</v>
      </c>
      <c r="V229" s="5" t="s">
        <v>2837</v>
      </c>
      <c r="W229" s="5" t="s">
        <v>162</v>
      </c>
      <c r="X229" s="5" t="s">
        <v>162</v>
      </c>
      <c r="Y229" s="4">
        <v>394</v>
      </c>
      <c r="Z229" s="4">
        <v>364</v>
      </c>
      <c r="AA229" s="4">
        <v>371</v>
      </c>
      <c r="AB229" s="4">
        <v>5</v>
      </c>
      <c r="AC229" s="4">
        <v>5</v>
      </c>
      <c r="AD229" s="4">
        <v>19</v>
      </c>
      <c r="AE229" s="4">
        <v>19</v>
      </c>
      <c r="AF229" s="4">
        <v>7</v>
      </c>
      <c r="AG229" s="4">
        <v>7</v>
      </c>
      <c r="AH229" s="4">
        <v>3</v>
      </c>
      <c r="AI229" s="4">
        <v>3</v>
      </c>
      <c r="AJ229" s="4">
        <v>9</v>
      </c>
      <c r="AK229" s="4">
        <v>9</v>
      </c>
      <c r="AL229" s="4">
        <v>4</v>
      </c>
      <c r="AM229" s="4">
        <v>4</v>
      </c>
      <c r="AN229" s="4">
        <v>0</v>
      </c>
      <c r="AO229" s="4">
        <v>0</v>
      </c>
      <c r="AP229" s="3" t="s">
        <v>61</v>
      </c>
      <c r="AQ229" s="3" t="s">
        <v>59</v>
      </c>
      <c r="AR229" s="6" t="str">
        <f>HYPERLINK("http://catalog.hathitrust.org/Record/006720573","HathiTrust Record")</f>
        <v>HathiTrust Record</v>
      </c>
      <c r="AS229" s="6" t="str">
        <f>HYPERLINK("https://creighton-primo.hosted.exlibrisgroup.com/primo-explore/search?tab=default_tab&amp;search_scope=EVERYTHING&amp;vid=01CRU&amp;lang=en_US&amp;offset=0&amp;query=any,contains,991002928809702656","Catalog Record")</f>
        <v>Catalog Record</v>
      </c>
      <c r="AT229" s="6" t="str">
        <f>HYPERLINK("http://www.worldcat.org/oclc/530135","WorldCat Record")</f>
        <v>WorldCat Record</v>
      </c>
      <c r="AU229" s="3" t="s">
        <v>2838</v>
      </c>
      <c r="AV229" s="3" t="s">
        <v>2839</v>
      </c>
      <c r="AW229" s="3" t="s">
        <v>2840</v>
      </c>
      <c r="AX229" s="3" t="s">
        <v>2840</v>
      </c>
      <c r="AY229" s="3" t="s">
        <v>2841</v>
      </c>
      <c r="AZ229" s="3" t="s">
        <v>75</v>
      </c>
      <c r="BC229" s="3" t="s">
        <v>2844</v>
      </c>
      <c r="BD229" s="3" t="s">
        <v>2845</v>
      </c>
    </row>
    <row r="230" spans="1:56" ht="44.25" customHeight="1" x14ac:dyDescent="0.25">
      <c r="A230" s="7" t="s">
        <v>61</v>
      </c>
      <c r="B230" s="2" t="s">
        <v>2846</v>
      </c>
      <c r="C230" s="2" t="s">
        <v>2847</v>
      </c>
      <c r="D230" s="2" t="s">
        <v>2848</v>
      </c>
      <c r="F230" s="3" t="s">
        <v>61</v>
      </c>
      <c r="G230" s="3" t="s">
        <v>60</v>
      </c>
      <c r="H230" s="3" t="s">
        <v>61</v>
      </c>
      <c r="I230" s="3" t="s">
        <v>61</v>
      </c>
      <c r="J230" s="3" t="s">
        <v>62</v>
      </c>
      <c r="K230" s="2" t="s">
        <v>2849</v>
      </c>
      <c r="L230" s="2" t="s">
        <v>406</v>
      </c>
      <c r="M230" s="3" t="s">
        <v>407</v>
      </c>
      <c r="O230" s="3" t="s">
        <v>114</v>
      </c>
      <c r="P230" s="3" t="s">
        <v>235</v>
      </c>
      <c r="R230" s="3" t="s">
        <v>68</v>
      </c>
      <c r="S230" s="4">
        <v>1</v>
      </c>
      <c r="T230" s="4">
        <v>1</v>
      </c>
      <c r="U230" s="5" t="s">
        <v>2850</v>
      </c>
      <c r="V230" s="5" t="s">
        <v>2850</v>
      </c>
      <c r="W230" s="5" t="s">
        <v>2851</v>
      </c>
      <c r="X230" s="5" t="s">
        <v>2851</v>
      </c>
      <c r="Y230" s="4">
        <v>379</v>
      </c>
      <c r="Z230" s="4">
        <v>360</v>
      </c>
      <c r="AA230" s="4">
        <v>373</v>
      </c>
      <c r="AB230" s="4">
        <v>1</v>
      </c>
      <c r="AC230" s="4">
        <v>1</v>
      </c>
      <c r="AD230" s="4">
        <v>8</v>
      </c>
      <c r="AE230" s="4">
        <v>8</v>
      </c>
      <c r="AF230" s="4">
        <v>2</v>
      </c>
      <c r="AG230" s="4">
        <v>2</v>
      </c>
      <c r="AH230" s="4">
        <v>3</v>
      </c>
      <c r="AI230" s="4">
        <v>3</v>
      </c>
      <c r="AJ230" s="4">
        <v>5</v>
      </c>
      <c r="AK230" s="4">
        <v>5</v>
      </c>
      <c r="AL230" s="4">
        <v>0</v>
      </c>
      <c r="AM230" s="4">
        <v>0</v>
      </c>
      <c r="AN230" s="4">
        <v>0</v>
      </c>
      <c r="AO230" s="4">
        <v>0</v>
      </c>
      <c r="AP230" s="3" t="s">
        <v>61</v>
      </c>
      <c r="AQ230" s="3" t="s">
        <v>59</v>
      </c>
      <c r="AR230" s="6" t="str">
        <f>HYPERLINK("http://catalog.hathitrust.org/Record/006029334","HathiTrust Record")</f>
        <v>HathiTrust Record</v>
      </c>
      <c r="AS230" s="6" t="str">
        <f>HYPERLINK("https://creighton-primo.hosted.exlibrisgroup.com/primo-explore/search?tab=default_tab&amp;search_scope=EVERYTHING&amp;vid=01CRU&amp;lang=en_US&amp;offset=0&amp;query=any,contains,991002423209702656","Catalog Record")</f>
        <v>Catalog Record</v>
      </c>
      <c r="AT230" s="6" t="str">
        <f>HYPERLINK("http://www.worldcat.org/oclc/31605369","WorldCat Record")</f>
        <v>WorldCat Record</v>
      </c>
      <c r="AU230" s="3" t="s">
        <v>2852</v>
      </c>
      <c r="AV230" s="3" t="s">
        <v>2853</v>
      </c>
      <c r="AW230" s="3" t="s">
        <v>2854</v>
      </c>
      <c r="AX230" s="3" t="s">
        <v>2854</v>
      </c>
      <c r="AY230" s="3" t="s">
        <v>2855</v>
      </c>
      <c r="AZ230" s="3" t="s">
        <v>75</v>
      </c>
      <c r="BB230" s="3" t="s">
        <v>2856</v>
      </c>
      <c r="BC230" s="3" t="s">
        <v>2857</v>
      </c>
      <c r="BD230" s="3" t="s">
        <v>2858</v>
      </c>
    </row>
    <row r="231" spans="1:56" ht="44.25" customHeight="1" x14ac:dyDescent="0.25">
      <c r="A231" s="7" t="s">
        <v>61</v>
      </c>
      <c r="B231" s="2" t="s">
        <v>2859</v>
      </c>
      <c r="C231" s="2" t="s">
        <v>2860</v>
      </c>
      <c r="D231" s="2" t="s">
        <v>2861</v>
      </c>
      <c r="F231" s="3" t="s">
        <v>61</v>
      </c>
      <c r="G231" s="3" t="s">
        <v>60</v>
      </c>
      <c r="H231" s="3" t="s">
        <v>61</v>
      </c>
      <c r="I231" s="3" t="s">
        <v>61</v>
      </c>
      <c r="J231" s="3" t="s">
        <v>62</v>
      </c>
      <c r="K231" s="2" t="s">
        <v>2862</v>
      </c>
      <c r="L231" s="2" t="s">
        <v>2863</v>
      </c>
      <c r="M231" s="3" t="s">
        <v>1211</v>
      </c>
      <c r="O231" s="3" t="s">
        <v>114</v>
      </c>
      <c r="P231" s="3" t="s">
        <v>235</v>
      </c>
      <c r="R231" s="3" t="s">
        <v>68</v>
      </c>
      <c r="S231" s="4">
        <v>11</v>
      </c>
      <c r="T231" s="4">
        <v>11</v>
      </c>
      <c r="U231" s="5" t="s">
        <v>2864</v>
      </c>
      <c r="V231" s="5" t="s">
        <v>2864</v>
      </c>
      <c r="W231" s="5" t="s">
        <v>2865</v>
      </c>
      <c r="X231" s="5" t="s">
        <v>2865</v>
      </c>
      <c r="Y231" s="4">
        <v>350</v>
      </c>
      <c r="Z231" s="4">
        <v>328</v>
      </c>
      <c r="AA231" s="4">
        <v>734</v>
      </c>
      <c r="AB231" s="4">
        <v>4</v>
      </c>
      <c r="AC231" s="4">
        <v>5</v>
      </c>
      <c r="AD231" s="4">
        <v>15</v>
      </c>
      <c r="AE231" s="4">
        <v>36</v>
      </c>
      <c r="AF231" s="4">
        <v>3</v>
      </c>
      <c r="AG231" s="4">
        <v>12</v>
      </c>
      <c r="AH231" s="4">
        <v>4</v>
      </c>
      <c r="AI231" s="4">
        <v>7</v>
      </c>
      <c r="AJ231" s="4">
        <v>9</v>
      </c>
      <c r="AK231" s="4">
        <v>24</v>
      </c>
      <c r="AL231" s="4">
        <v>2</v>
      </c>
      <c r="AM231" s="4">
        <v>3</v>
      </c>
      <c r="AN231" s="4">
        <v>0</v>
      </c>
      <c r="AO231" s="4">
        <v>0</v>
      </c>
      <c r="AP231" s="3" t="s">
        <v>61</v>
      </c>
      <c r="AQ231" s="3" t="s">
        <v>59</v>
      </c>
      <c r="AR231" s="6" t="str">
        <f>HYPERLINK("http://catalog.hathitrust.org/Record/007115643","HathiTrust Record")</f>
        <v>HathiTrust Record</v>
      </c>
      <c r="AS231" s="6" t="str">
        <f>HYPERLINK("https://creighton-primo.hosted.exlibrisgroup.com/primo-explore/search?tab=default_tab&amp;search_scope=EVERYTHING&amp;vid=01CRU&amp;lang=en_US&amp;offset=0&amp;query=any,contains,991003161179702656","Catalog Record")</f>
        <v>Catalog Record</v>
      </c>
      <c r="AT231" s="6" t="str">
        <f>HYPERLINK("http://www.worldcat.org/oclc/700388","WorldCat Record")</f>
        <v>WorldCat Record</v>
      </c>
      <c r="AU231" s="3" t="s">
        <v>2866</v>
      </c>
      <c r="AV231" s="3" t="s">
        <v>2867</v>
      </c>
      <c r="AW231" s="3" t="s">
        <v>2868</v>
      </c>
      <c r="AX231" s="3" t="s">
        <v>2868</v>
      </c>
      <c r="AY231" s="3" t="s">
        <v>2869</v>
      </c>
      <c r="AZ231" s="3" t="s">
        <v>75</v>
      </c>
      <c r="BB231" s="3" t="s">
        <v>2870</v>
      </c>
      <c r="BC231" s="3" t="s">
        <v>2871</v>
      </c>
      <c r="BD231" s="3" t="s">
        <v>2872</v>
      </c>
    </row>
    <row r="232" spans="1:56" ht="44.25" customHeight="1" x14ac:dyDescent="0.25">
      <c r="A232" s="7" t="s">
        <v>61</v>
      </c>
      <c r="B232" s="2" t="s">
        <v>2873</v>
      </c>
      <c r="C232" s="2" t="s">
        <v>2874</v>
      </c>
      <c r="D232" s="2" t="s">
        <v>2875</v>
      </c>
      <c r="F232" s="3" t="s">
        <v>61</v>
      </c>
      <c r="G232" s="3" t="s">
        <v>60</v>
      </c>
      <c r="H232" s="3" t="s">
        <v>61</v>
      </c>
      <c r="I232" s="3" t="s">
        <v>61</v>
      </c>
      <c r="J232" s="3" t="s">
        <v>62</v>
      </c>
      <c r="L232" s="2" t="s">
        <v>2876</v>
      </c>
      <c r="M232" s="3" t="s">
        <v>2323</v>
      </c>
      <c r="N232" s="2" t="s">
        <v>2877</v>
      </c>
      <c r="O232" s="3" t="s">
        <v>114</v>
      </c>
      <c r="P232" s="3" t="s">
        <v>1114</v>
      </c>
      <c r="R232" s="3" t="s">
        <v>68</v>
      </c>
      <c r="S232" s="4">
        <v>3</v>
      </c>
      <c r="T232" s="4">
        <v>3</v>
      </c>
      <c r="U232" s="5" t="s">
        <v>2878</v>
      </c>
      <c r="V232" s="5" t="s">
        <v>2878</v>
      </c>
      <c r="W232" s="5" t="s">
        <v>2879</v>
      </c>
      <c r="X232" s="5" t="s">
        <v>2879</v>
      </c>
      <c r="Y232" s="4">
        <v>129</v>
      </c>
      <c r="Z232" s="4">
        <v>92</v>
      </c>
      <c r="AA232" s="4">
        <v>174</v>
      </c>
      <c r="AB232" s="4">
        <v>2</v>
      </c>
      <c r="AC232" s="4">
        <v>2</v>
      </c>
      <c r="AD232" s="4">
        <v>5</v>
      </c>
      <c r="AE232" s="4">
        <v>6</v>
      </c>
      <c r="AF232" s="4">
        <v>1</v>
      </c>
      <c r="AG232" s="4">
        <v>2</v>
      </c>
      <c r="AH232" s="4">
        <v>2</v>
      </c>
      <c r="AI232" s="4">
        <v>2</v>
      </c>
      <c r="AJ232" s="4">
        <v>1</v>
      </c>
      <c r="AK232" s="4">
        <v>2</v>
      </c>
      <c r="AL232" s="4">
        <v>1</v>
      </c>
      <c r="AM232" s="4">
        <v>1</v>
      </c>
      <c r="AN232" s="4">
        <v>1</v>
      </c>
      <c r="AO232" s="4">
        <v>1</v>
      </c>
      <c r="AP232" s="3" t="s">
        <v>61</v>
      </c>
      <c r="AQ232" s="3" t="s">
        <v>59</v>
      </c>
      <c r="AR232" s="6" t="str">
        <f>HYPERLINK("http://catalog.hathitrust.org/Record/007960409","HathiTrust Record")</f>
        <v>HathiTrust Record</v>
      </c>
      <c r="AS232" s="6" t="str">
        <f>HYPERLINK("https://creighton-primo.hosted.exlibrisgroup.com/primo-explore/search?tab=default_tab&amp;search_scope=EVERYTHING&amp;vid=01CRU&amp;lang=en_US&amp;offset=0&amp;query=any,contains,991004149569702656","Catalog Record")</f>
        <v>Catalog Record</v>
      </c>
      <c r="AT232" s="6" t="str">
        <f>HYPERLINK("http://www.worldcat.org/oclc/52595173","WorldCat Record")</f>
        <v>WorldCat Record</v>
      </c>
      <c r="AU232" s="3" t="s">
        <v>2880</v>
      </c>
      <c r="AV232" s="3" t="s">
        <v>2881</v>
      </c>
      <c r="AW232" s="3" t="s">
        <v>2882</v>
      </c>
      <c r="AX232" s="3" t="s">
        <v>2882</v>
      </c>
      <c r="AY232" s="3" t="s">
        <v>2883</v>
      </c>
      <c r="AZ232" s="3" t="s">
        <v>75</v>
      </c>
      <c r="BB232" s="3" t="s">
        <v>2884</v>
      </c>
      <c r="BC232" s="3" t="s">
        <v>2885</v>
      </c>
      <c r="BD232" s="3" t="s">
        <v>2886</v>
      </c>
    </row>
    <row r="233" spans="1:56" ht="44.25" customHeight="1" x14ac:dyDescent="0.25">
      <c r="A233" s="7" t="s">
        <v>61</v>
      </c>
      <c r="B233" s="2" t="s">
        <v>2887</v>
      </c>
      <c r="C233" s="2" t="s">
        <v>2888</v>
      </c>
      <c r="D233" s="2" t="s">
        <v>2889</v>
      </c>
      <c r="F233" s="3" t="s">
        <v>61</v>
      </c>
      <c r="G233" s="3" t="s">
        <v>60</v>
      </c>
      <c r="H233" s="3" t="s">
        <v>61</v>
      </c>
      <c r="I233" s="3" t="s">
        <v>61</v>
      </c>
      <c r="J233" s="3" t="s">
        <v>62</v>
      </c>
      <c r="K233" s="2" t="s">
        <v>2890</v>
      </c>
      <c r="L233" s="2" t="s">
        <v>2891</v>
      </c>
      <c r="M233" s="3" t="s">
        <v>407</v>
      </c>
      <c r="O233" s="3" t="s">
        <v>114</v>
      </c>
      <c r="P233" s="3" t="s">
        <v>619</v>
      </c>
      <c r="R233" s="3" t="s">
        <v>68</v>
      </c>
      <c r="S233" s="4">
        <v>5</v>
      </c>
      <c r="T233" s="4">
        <v>5</v>
      </c>
      <c r="U233" s="5" t="s">
        <v>606</v>
      </c>
      <c r="V233" s="5" t="s">
        <v>606</v>
      </c>
      <c r="W233" s="5" t="s">
        <v>2892</v>
      </c>
      <c r="X233" s="5" t="s">
        <v>2892</v>
      </c>
      <c r="Y233" s="4">
        <v>334</v>
      </c>
      <c r="Z233" s="4">
        <v>255</v>
      </c>
      <c r="AA233" s="4">
        <v>263</v>
      </c>
      <c r="AB233" s="4">
        <v>2</v>
      </c>
      <c r="AC233" s="4">
        <v>2</v>
      </c>
      <c r="AD233" s="4">
        <v>15</v>
      </c>
      <c r="AE233" s="4">
        <v>15</v>
      </c>
      <c r="AF233" s="4">
        <v>5</v>
      </c>
      <c r="AG233" s="4">
        <v>5</v>
      </c>
      <c r="AH233" s="4">
        <v>4</v>
      </c>
      <c r="AI233" s="4">
        <v>4</v>
      </c>
      <c r="AJ233" s="4">
        <v>7</v>
      </c>
      <c r="AK233" s="4">
        <v>7</v>
      </c>
      <c r="AL233" s="4">
        <v>1</v>
      </c>
      <c r="AM233" s="4">
        <v>1</v>
      </c>
      <c r="AN233" s="4">
        <v>2</v>
      </c>
      <c r="AO233" s="4">
        <v>2</v>
      </c>
      <c r="AP233" s="3" t="s">
        <v>61</v>
      </c>
      <c r="AQ233" s="3" t="s">
        <v>59</v>
      </c>
      <c r="AR233" s="6" t="str">
        <f>HYPERLINK("http://catalog.hathitrust.org/Record/003026249","HathiTrust Record")</f>
        <v>HathiTrust Record</v>
      </c>
      <c r="AS233" s="6" t="str">
        <f>HYPERLINK("https://creighton-primo.hosted.exlibrisgroup.com/primo-explore/search?tab=default_tab&amp;search_scope=EVERYTHING&amp;vid=01CRU&amp;lang=en_US&amp;offset=0&amp;query=any,contains,991002531179702656","Catalog Record")</f>
        <v>Catalog Record</v>
      </c>
      <c r="AT233" s="6" t="str">
        <f>HYPERLINK("http://www.worldcat.org/oclc/32893338","WorldCat Record")</f>
        <v>WorldCat Record</v>
      </c>
      <c r="AU233" s="3" t="s">
        <v>2893</v>
      </c>
      <c r="AV233" s="3" t="s">
        <v>2894</v>
      </c>
      <c r="AW233" s="3" t="s">
        <v>2895</v>
      </c>
      <c r="AX233" s="3" t="s">
        <v>2895</v>
      </c>
      <c r="AY233" s="3" t="s">
        <v>2896</v>
      </c>
      <c r="AZ233" s="3" t="s">
        <v>75</v>
      </c>
      <c r="BB233" s="3" t="s">
        <v>2897</v>
      </c>
      <c r="BC233" s="3" t="s">
        <v>2898</v>
      </c>
      <c r="BD233" s="3" t="s">
        <v>2899</v>
      </c>
    </row>
    <row r="234" spans="1:56" ht="44.25" customHeight="1" x14ac:dyDescent="0.25">
      <c r="A234" s="7" t="s">
        <v>61</v>
      </c>
      <c r="B234" s="2" t="s">
        <v>2900</v>
      </c>
      <c r="C234" s="2" t="s">
        <v>2901</v>
      </c>
      <c r="D234" s="2" t="s">
        <v>2902</v>
      </c>
      <c r="F234" s="3" t="s">
        <v>61</v>
      </c>
      <c r="G234" s="3" t="s">
        <v>60</v>
      </c>
      <c r="H234" s="3" t="s">
        <v>61</v>
      </c>
      <c r="I234" s="3" t="s">
        <v>61</v>
      </c>
      <c r="J234" s="3" t="s">
        <v>62</v>
      </c>
      <c r="K234" s="2" t="s">
        <v>2903</v>
      </c>
      <c r="L234" s="2" t="s">
        <v>2904</v>
      </c>
      <c r="M234" s="3" t="s">
        <v>249</v>
      </c>
      <c r="O234" s="3" t="s">
        <v>114</v>
      </c>
      <c r="P234" s="3" t="s">
        <v>192</v>
      </c>
      <c r="R234" s="3" t="s">
        <v>68</v>
      </c>
      <c r="S234" s="4">
        <v>1</v>
      </c>
      <c r="T234" s="4">
        <v>1</v>
      </c>
      <c r="U234" s="5" t="s">
        <v>2905</v>
      </c>
      <c r="V234" s="5" t="s">
        <v>2905</v>
      </c>
      <c r="W234" s="5" t="s">
        <v>1937</v>
      </c>
      <c r="X234" s="5" t="s">
        <v>1937</v>
      </c>
      <c r="Y234" s="4">
        <v>461</v>
      </c>
      <c r="Z234" s="4">
        <v>299</v>
      </c>
      <c r="AA234" s="4">
        <v>303</v>
      </c>
      <c r="AB234" s="4">
        <v>2</v>
      </c>
      <c r="AC234" s="4">
        <v>2</v>
      </c>
      <c r="AD234" s="4">
        <v>15</v>
      </c>
      <c r="AE234" s="4">
        <v>15</v>
      </c>
      <c r="AF234" s="4">
        <v>6</v>
      </c>
      <c r="AG234" s="4">
        <v>6</v>
      </c>
      <c r="AH234" s="4">
        <v>5</v>
      </c>
      <c r="AI234" s="4">
        <v>5</v>
      </c>
      <c r="AJ234" s="4">
        <v>9</v>
      </c>
      <c r="AK234" s="4">
        <v>9</v>
      </c>
      <c r="AL234" s="4">
        <v>1</v>
      </c>
      <c r="AM234" s="4">
        <v>1</v>
      </c>
      <c r="AN234" s="4">
        <v>0</v>
      </c>
      <c r="AO234" s="4">
        <v>0</v>
      </c>
      <c r="AP234" s="3" t="s">
        <v>61</v>
      </c>
      <c r="AQ234" s="3" t="s">
        <v>59</v>
      </c>
      <c r="AR234" s="6" t="str">
        <f>HYPERLINK("http://catalog.hathitrust.org/Record/002710852","HathiTrust Record")</f>
        <v>HathiTrust Record</v>
      </c>
      <c r="AS234" s="6" t="str">
        <f>HYPERLINK("https://creighton-primo.hosted.exlibrisgroup.com/primo-explore/search?tab=default_tab&amp;search_scope=EVERYTHING&amp;vid=01CRU&amp;lang=en_US&amp;offset=0&amp;query=any,contains,991002189379702656","Catalog Record")</f>
        <v>Catalog Record</v>
      </c>
      <c r="AT234" s="6" t="str">
        <f>HYPERLINK("http://www.worldcat.org/oclc/28180959","WorldCat Record")</f>
        <v>WorldCat Record</v>
      </c>
      <c r="AU234" s="3" t="s">
        <v>2906</v>
      </c>
      <c r="AV234" s="3" t="s">
        <v>2907</v>
      </c>
      <c r="AW234" s="3" t="s">
        <v>2908</v>
      </c>
      <c r="AX234" s="3" t="s">
        <v>2908</v>
      </c>
      <c r="AY234" s="3" t="s">
        <v>2909</v>
      </c>
      <c r="AZ234" s="3" t="s">
        <v>75</v>
      </c>
      <c r="BB234" s="3" t="s">
        <v>2910</v>
      </c>
      <c r="BC234" s="3" t="s">
        <v>2911</v>
      </c>
      <c r="BD234" s="3" t="s">
        <v>2912</v>
      </c>
    </row>
    <row r="235" spans="1:56" ht="44.25" customHeight="1" x14ac:dyDescent="0.25">
      <c r="A235" s="7" t="s">
        <v>61</v>
      </c>
      <c r="B235" s="2" t="s">
        <v>2913</v>
      </c>
      <c r="C235" s="2" t="s">
        <v>2914</v>
      </c>
      <c r="D235" s="2" t="s">
        <v>2915</v>
      </c>
      <c r="F235" s="3" t="s">
        <v>61</v>
      </c>
      <c r="G235" s="3" t="s">
        <v>60</v>
      </c>
      <c r="H235" s="3" t="s">
        <v>61</v>
      </c>
      <c r="I235" s="3" t="s">
        <v>61</v>
      </c>
      <c r="J235" s="3" t="s">
        <v>62</v>
      </c>
      <c r="L235" s="2" t="s">
        <v>2916</v>
      </c>
      <c r="M235" s="3" t="s">
        <v>379</v>
      </c>
      <c r="O235" s="3" t="s">
        <v>114</v>
      </c>
      <c r="P235" s="3" t="s">
        <v>235</v>
      </c>
      <c r="Q235" s="2" t="s">
        <v>2917</v>
      </c>
      <c r="R235" s="3" t="s">
        <v>68</v>
      </c>
      <c r="S235" s="4">
        <v>1</v>
      </c>
      <c r="T235" s="4">
        <v>1</v>
      </c>
      <c r="U235" s="5" t="s">
        <v>2918</v>
      </c>
      <c r="V235" s="5" t="s">
        <v>2918</v>
      </c>
      <c r="W235" s="5" t="s">
        <v>2918</v>
      </c>
      <c r="X235" s="5" t="s">
        <v>2918</v>
      </c>
      <c r="Y235" s="4">
        <v>113</v>
      </c>
      <c r="Z235" s="4">
        <v>77</v>
      </c>
      <c r="AA235" s="4">
        <v>121</v>
      </c>
      <c r="AB235" s="4">
        <v>1</v>
      </c>
      <c r="AC235" s="4">
        <v>1</v>
      </c>
      <c r="AD235" s="4">
        <v>4</v>
      </c>
      <c r="AE235" s="4">
        <v>5</v>
      </c>
      <c r="AF235" s="4">
        <v>2</v>
      </c>
      <c r="AG235" s="4">
        <v>2</v>
      </c>
      <c r="AH235" s="4">
        <v>3</v>
      </c>
      <c r="AI235" s="4">
        <v>3</v>
      </c>
      <c r="AJ235" s="4">
        <v>1</v>
      </c>
      <c r="AK235" s="4">
        <v>2</v>
      </c>
      <c r="AL235" s="4">
        <v>0</v>
      </c>
      <c r="AM235" s="4">
        <v>0</v>
      </c>
      <c r="AN235" s="4">
        <v>0</v>
      </c>
      <c r="AO235" s="4">
        <v>0</v>
      </c>
      <c r="AP235" s="3" t="s">
        <v>61</v>
      </c>
      <c r="AQ235" s="3" t="s">
        <v>61</v>
      </c>
      <c r="AS235" s="6" t="str">
        <f>HYPERLINK("https://creighton-primo.hosted.exlibrisgroup.com/primo-explore/search?tab=default_tab&amp;search_scope=EVERYTHING&amp;vid=01CRU&amp;lang=en_US&amp;offset=0&amp;query=any,contains,991003633299702656","Catalog Record")</f>
        <v>Catalog Record</v>
      </c>
      <c r="AT235" s="6" t="str">
        <f>HYPERLINK("http://www.worldcat.org/oclc/43930107","WorldCat Record")</f>
        <v>WorldCat Record</v>
      </c>
      <c r="AU235" s="3" t="s">
        <v>2919</v>
      </c>
      <c r="AV235" s="3" t="s">
        <v>2920</v>
      </c>
      <c r="AW235" s="3" t="s">
        <v>2921</v>
      </c>
      <c r="AX235" s="3" t="s">
        <v>2921</v>
      </c>
      <c r="AY235" s="3" t="s">
        <v>2922</v>
      </c>
      <c r="AZ235" s="3" t="s">
        <v>75</v>
      </c>
      <c r="BB235" s="3" t="s">
        <v>2923</v>
      </c>
      <c r="BC235" s="3" t="s">
        <v>2924</v>
      </c>
      <c r="BD235" s="3" t="s">
        <v>2925</v>
      </c>
    </row>
    <row r="236" spans="1:56" ht="44.25" customHeight="1" x14ac:dyDescent="0.25">
      <c r="A236" s="7" t="s">
        <v>61</v>
      </c>
      <c r="B236" s="2" t="s">
        <v>2926</v>
      </c>
      <c r="C236" s="2" t="s">
        <v>2927</v>
      </c>
      <c r="D236" s="2" t="s">
        <v>2928</v>
      </c>
      <c r="F236" s="3" t="s">
        <v>61</v>
      </c>
      <c r="G236" s="3" t="s">
        <v>60</v>
      </c>
      <c r="H236" s="3" t="s">
        <v>61</v>
      </c>
      <c r="I236" s="3" t="s">
        <v>61</v>
      </c>
      <c r="J236" s="3" t="s">
        <v>62</v>
      </c>
      <c r="L236" s="2" t="s">
        <v>2929</v>
      </c>
      <c r="M236" s="3" t="s">
        <v>1870</v>
      </c>
      <c r="O236" s="3" t="s">
        <v>114</v>
      </c>
      <c r="P236" s="3" t="s">
        <v>192</v>
      </c>
      <c r="Q236" s="2" t="s">
        <v>2930</v>
      </c>
      <c r="R236" s="3" t="s">
        <v>68</v>
      </c>
      <c r="S236" s="4">
        <v>2</v>
      </c>
      <c r="T236" s="4">
        <v>2</v>
      </c>
      <c r="U236" s="5" t="s">
        <v>2905</v>
      </c>
      <c r="V236" s="5" t="s">
        <v>2905</v>
      </c>
      <c r="W236" s="5" t="s">
        <v>2931</v>
      </c>
      <c r="X236" s="5" t="s">
        <v>2931</v>
      </c>
      <c r="Y236" s="4">
        <v>290</v>
      </c>
      <c r="Z236" s="4">
        <v>170</v>
      </c>
      <c r="AA236" s="4">
        <v>172</v>
      </c>
      <c r="AB236" s="4">
        <v>2</v>
      </c>
      <c r="AC236" s="4">
        <v>2</v>
      </c>
      <c r="AD236" s="4">
        <v>9</v>
      </c>
      <c r="AE236" s="4">
        <v>9</v>
      </c>
      <c r="AF236" s="4">
        <v>3</v>
      </c>
      <c r="AG236" s="4">
        <v>3</v>
      </c>
      <c r="AH236" s="4">
        <v>5</v>
      </c>
      <c r="AI236" s="4">
        <v>5</v>
      </c>
      <c r="AJ236" s="4">
        <v>4</v>
      </c>
      <c r="AK236" s="4">
        <v>4</v>
      </c>
      <c r="AL236" s="4">
        <v>1</v>
      </c>
      <c r="AM236" s="4">
        <v>1</v>
      </c>
      <c r="AN236" s="4">
        <v>0</v>
      </c>
      <c r="AO236" s="4">
        <v>0</v>
      </c>
      <c r="AP236" s="3" t="s">
        <v>61</v>
      </c>
      <c r="AQ236" s="3" t="s">
        <v>59</v>
      </c>
      <c r="AR236" s="6" t="str">
        <f>HYPERLINK("http://catalog.hathitrust.org/Record/002985293","HathiTrust Record")</f>
        <v>HathiTrust Record</v>
      </c>
      <c r="AS236" s="6" t="str">
        <f>HYPERLINK("https://creighton-primo.hosted.exlibrisgroup.com/primo-explore/search?tab=default_tab&amp;search_scope=EVERYTHING&amp;vid=01CRU&amp;lang=en_US&amp;offset=0&amp;query=any,contains,991002336729702656","Catalog Record")</f>
        <v>Catalog Record</v>
      </c>
      <c r="AT236" s="6" t="str">
        <f>HYPERLINK("http://www.worldcat.org/oclc/30401194","WorldCat Record")</f>
        <v>WorldCat Record</v>
      </c>
      <c r="AU236" s="3" t="s">
        <v>2932</v>
      </c>
      <c r="AV236" s="3" t="s">
        <v>2933</v>
      </c>
      <c r="AW236" s="3" t="s">
        <v>2934</v>
      </c>
      <c r="AX236" s="3" t="s">
        <v>2934</v>
      </c>
      <c r="AY236" s="3" t="s">
        <v>2935</v>
      </c>
      <c r="AZ236" s="3" t="s">
        <v>75</v>
      </c>
      <c r="BB236" s="3" t="s">
        <v>2936</v>
      </c>
      <c r="BC236" s="3" t="s">
        <v>2937</v>
      </c>
      <c r="BD236" s="3" t="s">
        <v>2938</v>
      </c>
    </row>
    <row r="237" spans="1:56" ht="44.25" customHeight="1" x14ac:dyDescent="0.25">
      <c r="A237" s="7" t="s">
        <v>61</v>
      </c>
      <c r="B237" s="2" t="s">
        <v>2939</v>
      </c>
      <c r="C237" s="2" t="s">
        <v>2940</v>
      </c>
      <c r="D237" s="2" t="s">
        <v>2941</v>
      </c>
      <c r="F237" s="3" t="s">
        <v>61</v>
      </c>
      <c r="G237" s="3" t="s">
        <v>60</v>
      </c>
      <c r="H237" s="3" t="s">
        <v>61</v>
      </c>
      <c r="I237" s="3" t="s">
        <v>61</v>
      </c>
      <c r="J237" s="3" t="s">
        <v>62</v>
      </c>
      <c r="L237" s="2" t="s">
        <v>2942</v>
      </c>
      <c r="M237" s="3" t="s">
        <v>495</v>
      </c>
      <c r="O237" s="3" t="s">
        <v>114</v>
      </c>
      <c r="P237" s="3" t="s">
        <v>235</v>
      </c>
      <c r="R237" s="3" t="s">
        <v>68</v>
      </c>
      <c r="S237" s="4">
        <v>7</v>
      </c>
      <c r="T237" s="4">
        <v>7</v>
      </c>
      <c r="U237" s="5" t="s">
        <v>2943</v>
      </c>
      <c r="V237" s="5" t="s">
        <v>2943</v>
      </c>
      <c r="W237" s="5" t="s">
        <v>2944</v>
      </c>
      <c r="X237" s="5" t="s">
        <v>2944</v>
      </c>
      <c r="Y237" s="4">
        <v>560</v>
      </c>
      <c r="Z237" s="4">
        <v>389</v>
      </c>
      <c r="AA237" s="4">
        <v>394</v>
      </c>
      <c r="AB237" s="4">
        <v>3</v>
      </c>
      <c r="AC237" s="4">
        <v>3</v>
      </c>
      <c r="AD237" s="4">
        <v>22</v>
      </c>
      <c r="AE237" s="4">
        <v>22</v>
      </c>
      <c r="AF237" s="4">
        <v>7</v>
      </c>
      <c r="AG237" s="4">
        <v>7</v>
      </c>
      <c r="AH237" s="4">
        <v>7</v>
      </c>
      <c r="AI237" s="4">
        <v>7</v>
      </c>
      <c r="AJ237" s="4">
        <v>12</v>
      </c>
      <c r="AK237" s="4">
        <v>12</v>
      </c>
      <c r="AL237" s="4">
        <v>2</v>
      </c>
      <c r="AM237" s="4">
        <v>2</v>
      </c>
      <c r="AN237" s="4">
        <v>1</v>
      </c>
      <c r="AO237" s="4">
        <v>1</v>
      </c>
      <c r="AP237" s="3" t="s">
        <v>61</v>
      </c>
      <c r="AQ237" s="3" t="s">
        <v>61</v>
      </c>
      <c r="AS237" s="6" t="str">
        <f>HYPERLINK("https://creighton-primo.hosted.exlibrisgroup.com/primo-explore/search?tab=default_tab&amp;search_scope=EVERYTHING&amp;vid=01CRU&amp;lang=en_US&amp;offset=0&amp;query=any,contains,991002559979702656","Catalog Record")</f>
        <v>Catalog Record</v>
      </c>
      <c r="AT237" s="6" t="str">
        <f>HYPERLINK("http://www.worldcat.org/oclc/33276764","WorldCat Record")</f>
        <v>WorldCat Record</v>
      </c>
      <c r="AU237" s="3" t="s">
        <v>2945</v>
      </c>
      <c r="AV237" s="3" t="s">
        <v>2946</v>
      </c>
      <c r="AW237" s="3" t="s">
        <v>2947</v>
      </c>
      <c r="AX237" s="3" t="s">
        <v>2947</v>
      </c>
      <c r="AY237" s="3" t="s">
        <v>2948</v>
      </c>
      <c r="AZ237" s="3" t="s">
        <v>75</v>
      </c>
      <c r="BB237" s="3" t="s">
        <v>2949</v>
      </c>
      <c r="BC237" s="3" t="s">
        <v>2950</v>
      </c>
      <c r="BD237" s="3" t="s">
        <v>2951</v>
      </c>
    </row>
    <row r="238" spans="1:56" ht="44.25" customHeight="1" x14ac:dyDescent="0.25">
      <c r="A238" s="7" t="s">
        <v>61</v>
      </c>
      <c r="B238" s="2" t="s">
        <v>2952</v>
      </c>
      <c r="C238" s="2" t="s">
        <v>2953</v>
      </c>
      <c r="D238" s="2" t="s">
        <v>2954</v>
      </c>
      <c r="F238" s="3" t="s">
        <v>61</v>
      </c>
      <c r="G238" s="3" t="s">
        <v>60</v>
      </c>
      <c r="H238" s="3" t="s">
        <v>61</v>
      </c>
      <c r="I238" s="3" t="s">
        <v>61</v>
      </c>
      <c r="J238" s="3" t="s">
        <v>62</v>
      </c>
      <c r="L238" s="2" t="s">
        <v>2458</v>
      </c>
      <c r="M238" s="3" t="s">
        <v>249</v>
      </c>
      <c r="O238" s="3" t="s">
        <v>114</v>
      </c>
      <c r="P238" s="3" t="s">
        <v>335</v>
      </c>
      <c r="R238" s="3" t="s">
        <v>68</v>
      </c>
      <c r="S238" s="4">
        <v>10</v>
      </c>
      <c r="T238" s="4">
        <v>10</v>
      </c>
      <c r="U238" s="5" t="s">
        <v>2955</v>
      </c>
      <c r="V238" s="5" t="s">
        <v>2955</v>
      </c>
      <c r="W238" s="5" t="s">
        <v>2956</v>
      </c>
      <c r="X238" s="5" t="s">
        <v>2956</v>
      </c>
      <c r="Y238" s="4">
        <v>175</v>
      </c>
      <c r="Z238" s="4">
        <v>132</v>
      </c>
      <c r="AA238" s="4">
        <v>151</v>
      </c>
      <c r="AB238" s="4">
        <v>2</v>
      </c>
      <c r="AC238" s="4">
        <v>2</v>
      </c>
      <c r="AD238" s="4">
        <v>6</v>
      </c>
      <c r="AE238" s="4">
        <v>6</v>
      </c>
      <c r="AF238" s="4">
        <v>0</v>
      </c>
      <c r="AG238" s="4">
        <v>0</v>
      </c>
      <c r="AH238" s="4">
        <v>4</v>
      </c>
      <c r="AI238" s="4">
        <v>4</v>
      </c>
      <c r="AJ238" s="4">
        <v>3</v>
      </c>
      <c r="AK238" s="4">
        <v>3</v>
      </c>
      <c r="AL238" s="4">
        <v>1</v>
      </c>
      <c r="AM238" s="4">
        <v>1</v>
      </c>
      <c r="AN238" s="4">
        <v>0</v>
      </c>
      <c r="AO238" s="4">
        <v>0</v>
      </c>
      <c r="AP238" s="3" t="s">
        <v>61</v>
      </c>
      <c r="AQ238" s="3" t="s">
        <v>59</v>
      </c>
      <c r="AR238" s="6" t="str">
        <f>HYPERLINK("http://catalog.hathitrust.org/Record/002701036","HathiTrust Record")</f>
        <v>HathiTrust Record</v>
      </c>
      <c r="AS238" s="6" t="str">
        <f>HYPERLINK("https://creighton-primo.hosted.exlibrisgroup.com/primo-explore/search?tab=default_tab&amp;search_scope=EVERYTHING&amp;vid=01CRU&amp;lang=en_US&amp;offset=0&amp;query=any,contains,991002183659702656","Catalog Record")</f>
        <v>Catalog Record</v>
      </c>
      <c r="AT238" s="6" t="str">
        <f>HYPERLINK("http://www.worldcat.org/oclc/28113804","WorldCat Record")</f>
        <v>WorldCat Record</v>
      </c>
      <c r="AU238" s="3" t="s">
        <v>2957</v>
      </c>
      <c r="AV238" s="3" t="s">
        <v>2958</v>
      </c>
      <c r="AW238" s="3" t="s">
        <v>2959</v>
      </c>
      <c r="AX238" s="3" t="s">
        <v>2959</v>
      </c>
      <c r="AY238" s="3" t="s">
        <v>2960</v>
      </c>
      <c r="AZ238" s="3" t="s">
        <v>75</v>
      </c>
      <c r="BB238" s="3" t="s">
        <v>2961</v>
      </c>
      <c r="BC238" s="3" t="s">
        <v>2962</v>
      </c>
      <c r="BD238" s="3" t="s">
        <v>2963</v>
      </c>
    </row>
    <row r="239" spans="1:56" ht="44.25" customHeight="1" x14ac:dyDescent="0.25">
      <c r="A239" s="7" t="s">
        <v>61</v>
      </c>
      <c r="B239" s="2" t="s">
        <v>2964</v>
      </c>
      <c r="C239" s="2" t="s">
        <v>2965</v>
      </c>
      <c r="D239" s="2" t="s">
        <v>2966</v>
      </c>
      <c r="F239" s="3" t="s">
        <v>61</v>
      </c>
      <c r="G239" s="3" t="s">
        <v>60</v>
      </c>
      <c r="H239" s="3" t="s">
        <v>61</v>
      </c>
      <c r="I239" s="3" t="s">
        <v>61</v>
      </c>
      <c r="J239" s="3" t="s">
        <v>62</v>
      </c>
      <c r="L239" s="2" t="s">
        <v>2967</v>
      </c>
      <c r="M239" s="3" t="s">
        <v>605</v>
      </c>
      <c r="O239" s="3" t="s">
        <v>114</v>
      </c>
      <c r="P239" s="3" t="s">
        <v>2968</v>
      </c>
      <c r="R239" s="3" t="s">
        <v>68</v>
      </c>
      <c r="S239" s="4">
        <v>2</v>
      </c>
      <c r="T239" s="4">
        <v>2</v>
      </c>
      <c r="U239" s="5" t="s">
        <v>2969</v>
      </c>
      <c r="V239" s="5" t="s">
        <v>2969</v>
      </c>
      <c r="W239" s="5" t="s">
        <v>2970</v>
      </c>
      <c r="X239" s="5" t="s">
        <v>2970</v>
      </c>
      <c r="Y239" s="4">
        <v>95</v>
      </c>
      <c r="Z239" s="4">
        <v>75</v>
      </c>
      <c r="AA239" s="4">
        <v>81</v>
      </c>
      <c r="AB239" s="4">
        <v>2</v>
      </c>
      <c r="AC239" s="4">
        <v>2</v>
      </c>
      <c r="AD239" s="4">
        <v>4</v>
      </c>
      <c r="AE239" s="4">
        <v>4</v>
      </c>
      <c r="AF239" s="4">
        <v>0</v>
      </c>
      <c r="AG239" s="4">
        <v>0</v>
      </c>
      <c r="AH239" s="4">
        <v>2</v>
      </c>
      <c r="AI239" s="4">
        <v>2</v>
      </c>
      <c r="AJ239" s="4">
        <v>2</v>
      </c>
      <c r="AK239" s="4">
        <v>2</v>
      </c>
      <c r="AL239" s="4">
        <v>1</v>
      </c>
      <c r="AM239" s="4">
        <v>1</v>
      </c>
      <c r="AN239" s="4">
        <v>0</v>
      </c>
      <c r="AO239" s="4">
        <v>0</v>
      </c>
      <c r="AP239" s="3" t="s">
        <v>61</v>
      </c>
      <c r="AQ239" s="3" t="s">
        <v>61</v>
      </c>
      <c r="AS239" s="6" t="str">
        <f>HYPERLINK("https://creighton-primo.hosted.exlibrisgroup.com/primo-explore/search?tab=default_tab&amp;search_scope=EVERYTHING&amp;vid=01CRU&amp;lang=en_US&amp;offset=0&amp;query=any,contains,991002035089702656","Catalog Record")</f>
        <v>Catalog Record</v>
      </c>
      <c r="AT239" s="6" t="str">
        <f>HYPERLINK("http://www.worldcat.org/oclc/25915735","WorldCat Record")</f>
        <v>WorldCat Record</v>
      </c>
      <c r="AU239" s="3" t="s">
        <v>2971</v>
      </c>
      <c r="AV239" s="3" t="s">
        <v>2972</v>
      </c>
      <c r="AW239" s="3" t="s">
        <v>2973</v>
      </c>
      <c r="AX239" s="3" t="s">
        <v>2973</v>
      </c>
      <c r="AY239" s="3" t="s">
        <v>2974</v>
      </c>
      <c r="AZ239" s="3" t="s">
        <v>75</v>
      </c>
      <c r="BB239" s="3" t="s">
        <v>2975</v>
      </c>
      <c r="BC239" s="3" t="s">
        <v>2976</v>
      </c>
      <c r="BD239" s="3" t="s">
        <v>2977</v>
      </c>
    </row>
    <row r="240" spans="1:56" ht="44.25" customHeight="1" x14ac:dyDescent="0.25">
      <c r="A240" s="7" t="s">
        <v>61</v>
      </c>
      <c r="B240" s="2" t="s">
        <v>2978</v>
      </c>
      <c r="C240" s="2" t="s">
        <v>2979</v>
      </c>
      <c r="D240" s="2" t="s">
        <v>2980</v>
      </c>
      <c r="F240" s="3" t="s">
        <v>61</v>
      </c>
      <c r="G240" s="3" t="s">
        <v>60</v>
      </c>
      <c r="H240" s="3" t="s">
        <v>61</v>
      </c>
      <c r="I240" s="3" t="s">
        <v>61</v>
      </c>
      <c r="J240" s="3" t="s">
        <v>62</v>
      </c>
      <c r="L240" s="2" t="s">
        <v>2981</v>
      </c>
      <c r="M240" s="3" t="s">
        <v>536</v>
      </c>
      <c r="O240" s="3" t="s">
        <v>114</v>
      </c>
      <c r="P240" s="3" t="s">
        <v>2982</v>
      </c>
      <c r="R240" s="3" t="s">
        <v>68</v>
      </c>
      <c r="S240" s="4">
        <v>1</v>
      </c>
      <c r="T240" s="4">
        <v>1</v>
      </c>
      <c r="U240" s="5" t="s">
        <v>2983</v>
      </c>
      <c r="V240" s="5" t="s">
        <v>2983</v>
      </c>
      <c r="W240" s="5" t="s">
        <v>2984</v>
      </c>
      <c r="X240" s="5" t="s">
        <v>2984</v>
      </c>
      <c r="Y240" s="4">
        <v>179</v>
      </c>
      <c r="Z240" s="4">
        <v>111</v>
      </c>
      <c r="AA240" s="4">
        <v>113</v>
      </c>
      <c r="AB240" s="4">
        <v>1</v>
      </c>
      <c r="AC240" s="4">
        <v>1</v>
      </c>
      <c r="AD240" s="4">
        <v>4</v>
      </c>
      <c r="AE240" s="4">
        <v>4</v>
      </c>
      <c r="AF240" s="4">
        <v>0</v>
      </c>
      <c r="AG240" s="4">
        <v>0</v>
      </c>
      <c r="AH240" s="4">
        <v>2</v>
      </c>
      <c r="AI240" s="4">
        <v>2</v>
      </c>
      <c r="AJ240" s="4">
        <v>4</v>
      </c>
      <c r="AK240" s="4">
        <v>4</v>
      </c>
      <c r="AL240" s="4">
        <v>0</v>
      </c>
      <c r="AM240" s="4">
        <v>0</v>
      </c>
      <c r="AN240" s="4">
        <v>0</v>
      </c>
      <c r="AO240" s="4">
        <v>0</v>
      </c>
      <c r="AP240" s="3" t="s">
        <v>61</v>
      </c>
      <c r="AQ240" s="3" t="s">
        <v>59</v>
      </c>
      <c r="AR240" s="6" t="str">
        <f>HYPERLINK("http://catalog.hathitrust.org/Record/003170914","HathiTrust Record")</f>
        <v>HathiTrust Record</v>
      </c>
      <c r="AS240" s="6" t="str">
        <f>HYPERLINK("https://creighton-primo.hosted.exlibrisgroup.com/primo-explore/search?tab=default_tab&amp;search_scope=EVERYTHING&amp;vid=01CRU&amp;lang=en_US&amp;offset=0&amp;query=any,contains,991003621519702656","Catalog Record")</f>
        <v>Catalog Record</v>
      </c>
      <c r="AT240" s="6" t="str">
        <f>HYPERLINK("http://www.worldcat.org/oclc/37828064","WorldCat Record")</f>
        <v>WorldCat Record</v>
      </c>
      <c r="AU240" s="3" t="s">
        <v>2985</v>
      </c>
      <c r="AV240" s="3" t="s">
        <v>2986</v>
      </c>
      <c r="AW240" s="3" t="s">
        <v>2987</v>
      </c>
      <c r="AX240" s="3" t="s">
        <v>2987</v>
      </c>
      <c r="AY240" s="3" t="s">
        <v>2988</v>
      </c>
      <c r="AZ240" s="3" t="s">
        <v>75</v>
      </c>
      <c r="BB240" s="3" t="s">
        <v>2989</v>
      </c>
      <c r="BC240" s="3" t="s">
        <v>2990</v>
      </c>
      <c r="BD240" s="3" t="s">
        <v>2991</v>
      </c>
    </row>
    <row r="241" spans="1:56" ht="44.25" customHeight="1" x14ac:dyDescent="0.25">
      <c r="A241" s="7" t="s">
        <v>61</v>
      </c>
      <c r="B241" s="2" t="s">
        <v>2992</v>
      </c>
      <c r="C241" s="2" t="s">
        <v>2993</v>
      </c>
      <c r="D241" s="2" t="s">
        <v>2994</v>
      </c>
      <c r="F241" s="3" t="s">
        <v>61</v>
      </c>
      <c r="G241" s="3" t="s">
        <v>60</v>
      </c>
      <c r="H241" s="3" t="s">
        <v>61</v>
      </c>
      <c r="I241" s="3" t="s">
        <v>61</v>
      </c>
      <c r="J241" s="3" t="s">
        <v>62</v>
      </c>
      <c r="K241" s="2" t="s">
        <v>2995</v>
      </c>
      <c r="L241" s="2" t="s">
        <v>2996</v>
      </c>
      <c r="M241" s="3" t="s">
        <v>249</v>
      </c>
      <c r="O241" s="3" t="s">
        <v>114</v>
      </c>
      <c r="P241" s="3" t="s">
        <v>235</v>
      </c>
      <c r="R241" s="3" t="s">
        <v>68</v>
      </c>
      <c r="S241" s="4">
        <v>2</v>
      </c>
      <c r="T241" s="4">
        <v>2</v>
      </c>
      <c r="U241" s="5" t="s">
        <v>2997</v>
      </c>
      <c r="V241" s="5" t="s">
        <v>2997</v>
      </c>
      <c r="W241" s="5" t="s">
        <v>2998</v>
      </c>
      <c r="X241" s="5" t="s">
        <v>2998</v>
      </c>
      <c r="Y241" s="4">
        <v>484</v>
      </c>
      <c r="Z241" s="4">
        <v>368</v>
      </c>
      <c r="AA241" s="4">
        <v>375</v>
      </c>
      <c r="AB241" s="4">
        <v>4</v>
      </c>
      <c r="AC241" s="4">
        <v>4</v>
      </c>
      <c r="AD241" s="4">
        <v>25</v>
      </c>
      <c r="AE241" s="4">
        <v>25</v>
      </c>
      <c r="AF241" s="4">
        <v>7</v>
      </c>
      <c r="AG241" s="4">
        <v>7</v>
      </c>
      <c r="AH241" s="4">
        <v>5</v>
      </c>
      <c r="AI241" s="4">
        <v>5</v>
      </c>
      <c r="AJ241" s="4">
        <v>7</v>
      </c>
      <c r="AK241" s="4">
        <v>7</v>
      </c>
      <c r="AL241" s="4">
        <v>3</v>
      </c>
      <c r="AM241" s="4">
        <v>3</v>
      </c>
      <c r="AN241" s="4">
        <v>7</v>
      </c>
      <c r="AO241" s="4">
        <v>7</v>
      </c>
      <c r="AP241" s="3" t="s">
        <v>61</v>
      </c>
      <c r="AQ241" s="3" t="s">
        <v>59</v>
      </c>
      <c r="AR241" s="6" t="str">
        <f>HYPERLINK("http://catalog.hathitrust.org/Record/002858130","HathiTrust Record")</f>
        <v>HathiTrust Record</v>
      </c>
      <c r="AS241" s="6" t="str">
        <f>HYPERLINK("https://creighton-primo.hosted.exlibrisgroup.com/primo-explore/search?tab=default_tab&amp;search_scope=EVERYTHING&amp;vid=01CRU&amp;lang=en_US&amp;offset=0&amp;query=any,contains,991002231139702656","Catalog Record")</f>
        <v>Catalog Record</v>
      </c>
      <c r="AT241" s="6" t="str">
        <f>HYPERLINK("http://www.worldcat.org/oclc/28723046","WorldCat Record")</f>
        <v>WorldCat Record</v>
      </c>
      <c r="AU241" s="3" t="s">
        <v>2999</v>
      </c>
      <c r="AV241" s="3" t="s">
        <v>3000</v>
      </c>
      <c r="AW241" s="3" t="s">
        <v>3001</v>
      </c>
      <c r="AX241" s="3" t="s">
        <v>3001</v>
      </c>
      <c r="AY241" s="3" t="s">
        <v>3002</v>
      </c>
      <c r="AZ241" s="3" t="s">
        <v>75</v>
      </c>
      <c r="BB241" s="3" t="s">
        <v>3003</v>
      </c>
      <c r="BC241" s="3" t="s">
        <v>3004</v>
      </c>
      <c r="BD241" s="3" t="s">
        <v>3005</v>
      </c>
    </row>
    <row r="242" spans="1:56" ht="44.25" customHeight="1" x14ac:dyDescent="0.25">
      <c r="A242" s="7" t="s">
        <v>61</v>
      </c>
      <c r="B242" s="2" t="s">
        <v>3006</v>
      </c>
      <c r="C242" s="2" t="s">
        <v>3007</v>
      </c>
      <c r="D242" s="2" t="s">
        <v>3008</v>
      </c>
      <c r="F242" s="3" t="s">
        <v>61</v>
      </c>
      <c r="G242" s="3" t="s">
        <v>60</v>
      </c>
      <c r="H242" s="3" t="s">
        <v>61</v>
      </c>
      <c r="I242" s="3" t="s">
        <v>61</v>
      </c>
      <c r="J242" s="3" t="s">
        <v>62</v>
      </c>
      <c r="K242" s="2" t="s">
        <v>3009</v>
      </c>
      <c r="L242" s="2" t="s">
        <v>3010</v>
      </c>
      <c r="M242" s="3" t="s">
        <v>1465</v>
      </c>
      <c r="O242" s="3" t="s">
        <v>114</v>
      </c>
      <c r="P242" s="3" t="s">
        <v>235</v>
      </c>
      <c r="R242" s="3" t="s">
        <v>68</v>
      </c>
      <c r="S242" s="4">
        <v>5</v>
      </c>
      <c r="T242" s="4">
        <v>5</v>
      </c>
      <c r="U242" s="5" t="s">
        <v>278</v>
      </c>
      <c r="V242" s="5" t="s">
        <v>278</v>
      </c>
      <c r="W242" s="5" t="s">
        <v>621</v>
      </c>
      <c r="X242" s="5" t="s">
        <v>621</v>
      </c>
      <c r="Y242" s="4">
        <v>279</v>
      </c>
      <c r="Z242" s="4">
        <v>217</v>
      </c>
      <c r="AA242" s="4">
        <v>223</v>
      </c>
      <c r="AB242" s="4">
        <v>2</v>
      </c>
      <c r="AC242" s="4">
        <v>2</v>
      </c>
      <c r="AD242" s="4">
        <v>12</v>
      </c>
      <c r="AE242" s="4">
        <v>12</v>
      </c>
      <c r="AF242" s="4">
        <v>5</v>
      </c>
      <c r="AG242" s="4">
        <v>5</v>
      </c>
      <c r="AH242" s="4">
        <v>4</v>
      </c>
      <c r="AI242" s="4">
        <v>4</v>
      </c>
      <c r="AJ242" s="4">
        <v>7</v>
      </c>
      <c r="AK242" s="4">
        <v>7</v>
      </c>
      <c r="AL242" s="4">
        <v>1</v>
      </c>
      <c r="AM242" s="4">
        <v>1</v>
      </c>
      <c r="AN242" s="4">
        <v>0</v>
      </c>
      <c r="AO242" s="4">
        <v>0</v>
      </c>
      <c r="AP242" s="3" t="s">
        <v>61</v>
      </c>
      <c r="AQ242" s="3" t="s">
        <v>59</v>
      </c>
      <c r="AR242" s="6" t="str">
        <f>HYPERLINK("http://catalog.hathitrust.org/Record/002501080","HathiTrust Record")</f>
        <v>HathiTrust Record</v>
      </c>
      <c r="AS242" s="6" t="str">
        <f>HYPERLINK("https://creighton-primo.hosted.exlibrisgroup.com/primo-explore/search?tab=default_tab&amp;search_scope=EVERYTHING&amp;vid=01CRU&amp;lang=en_US&amp;offset=0&amp;query=any,contains,991001858039702656","Catalog Record")</f>
        <v>Catalog Record</v>
      </c>
      <c r="AT242" s="6" t="str">
        <f>HYPERLINK("http://www.worldcat.org/oclc/23355432","WorldCat Record")</f>
        <v>WorldCat Record</v>
      </c>
      <c r="AU242" s="3" t="s">
        <v>3011</v>
      </c>
      <c r="AV242" s="3" t="s">
        <v>3012</v>
      </c>
      <c r="AW242" s="3" t="s">
        <v>3013</v>
      </c>
      <c r="AX242" s="3" t="s">
        <v>3013</v>
      </c>
      <c r="AY242" s="3" t="s">
        <v>3014</v>
      </c>
      <c r="AZ242" s="3" t="s">
        <v>75</v>
      </c>
      <c r="BB242" s="3" t="s">
        <v>3015</v>
      </c>
      <c r="BC242" s="3" t="s">
        <v>3016</v>
      </c>
      <c r="BD242" s="3" t="s">
        <v>3017</v>
      </c>
    </row>
    <row r="243" spans="1:56" ht="44.25" customHeight="1" x14ac:dyDescent="0.25">
      <c r="A243" s="7" t="s">
        <v>61</v>
      </c>
      <c r="B243" s="2" t="s">
        <v>3018</v>
      </c>
      <c r="C243" s="2" t="s">
        <v>3019</v>
      </c>
      <c r="D243" s="2" t="s">
        <v>3020</v>
      </c>
      <c r="F243" s="3" t="s">
        <v>61</v>
      </c>
      <c r="G243" s="3" t="s">
        <v>60</v>
      </c>
      <c r="H243" s="3" t="s">
        <v>61</v>
      </c>
      <c r="I243" s="3" t="s">
        <v>61</v>
      </c>
      <c r="J243" s="3" t="s">
        <v>62</v>
      </c>
      <c r="K243" s="2" t="s">
        <v>3021</v>
      </c>
      <c r="L243" s="2" t="s">
        <v>3022</v>
      </c>
      <c r="M243" s="3" t="s">
        <v>220</v>
      </c>
      <c r="N243" s="2" t="s">
        <v>3023</v>
      </c>
      <c r="O243" s="3" t="s">
        <v>114</v>
      </c>
      <c r="P243" s="3" t="s">
        <v>235</v>
      </c>
      <c r="R243" s="3" t="s">
        <v>68</v>
      </c>
      <c r="S243" s="4">
        <v>2</v>
      </c>
      <c r="T243" s="4">
        <v>2</v>
      </c>
      <c r="U243" s="5" t="s">
        <v>3024</v>
      </c>
      <c r="V243" s="5" t="s">
        <v>3024</v>
      </c>
      <c r="W243" s="5" t="s">
        <v>3025</v>
      </c>
      <c r="X243" s="5" t="s">
        <v>3025</v>
      </c>
      <c r="Y243" s="4">
        <v>471</v>
      </c>
      <c r="Z243" s="4">
        <v>411</v>
      </c>
      <c r="AA243" s="4">
        <v>443</v>
      </c>
      <c r="AB243" s="4">
        <v>3</v>
      </c>
      <c r="AC243" s="4">
        <v>4</v>
      </c>
      <c r="AD243" s="4">
        <v>20</v>
      </c>
      <c r="AE243" s="4">
        <v>21</v>
      </c>
      <c r="AF243" s="4">
        <v>8</v>
      </c>
      <c r="AG243" s="4">
        <v>8</v>
      </c>
      <c r="AH243" s="4">
        <v>4</v>
      </c>
      <c r="AI243" s="4">
        <v>4</v>
      </c>
      <c r="AJ243" s="4">
        <v>12</v>
      </c>
      <c r="AK243" s="4">
        <v>12</v>
      </c>
      <c r="AL243" s="4">
        <v>1</v>
      </c>
      <c r="AM243" s="4">
        <v>2</v>
      </c>
      <c r="AN243" s="4">
        <v>0</v>
      </c>
      <c r="AO243" s="4">
        <v>0</v>
      </c>
      <c r="AP243" s="3" t="s">
        <v>61</v>
      </c>
      <c r="AQ243" s="3" t="s">
        <v>61</v>
      </c>
      <c r="AS243" s="6" t="str">
        <f>HYPERLINK("https://creighton-primo.hosted.exlibrisgroup.com/primo-explore/search?tab=default_tab&amp;search_scope=EVERYTHING&amp;vid=01CRU&amp;lang=en_US&amp;offset=0&amp;query=any,contains,991003967799702656","Catalog Record")</f>
        <v>Catalog Record</v>
      </c>
      <c r="AT243" s="6" t="str">
        <f>HYPERLINK("http://www.worldcat.org/oclc/50681860","WorldCat Record")</f>
        <v>WorldCat Record</v>
      </c>
      <c r="AU243" s="3" t="s">
        <v>3026</v>
      </c>
      <c r="AV243" s="3" t="s">
        <v>3027</v>
      </c>
      <c r="AW243" s="3" t="s">
        <v>3028</v>
      </c>
      <c r="AX243" s="3" t="s">
        <v>3028</v>
      </c>
      <c r="AY243" s="3" t="s">
        <v>3029</v>
      </c>
      <c r="AZ243" s="3" t="s">
        <v>75</v>
      </c>
      <c r="BB243" s="3" t="s">
        <v>3030</v>
      </c>
      <c r="BC243" s="3" t="s">
        <v>3031</v>
      </c>
      <c r="BD243" s="3" t="s">
        <v>3032</v>
      </c>
    </row>
    <row r="244" spans="1:56" ht="44.25" customHeight="1" x14ac:dyDescent="0.25">
      <c r="A244" s="7" t="s">
        <v>61</v>
      </c>
      <c r="B244" s="2" t="s">
        <v>3033</v>
      </c>
      <c r="C244" s="2" t="s">
        <v>3034</v>
      </c>
      <c r="D244" s="2" t="s">
        <v>3035</v>
      </c>
      <c r="F244" s="3" t="s">
        <v>61</v>
      </c>
      <c r="G244" s="3" t="s">
        <v>60</v>
      </c>
      <c r="H244" s="3" t="s">
        <v>61</v>
      </c>
      <c r="I244" s="3" t="s">
        <v>61</v>
      </c>
      <c r="J244" s="3" t="s">
        <v>62</v>
      </c>
      <c r="K244" s="2" t="s">
        <v>3036</v>
      </c>
      <c r="L244" s="2" t="s">
        <v>3037</v>
      </c>
      <c r="M244" s="3" t="s">
        <v>249</v>
      </c>
      <c r="O244" s="3" t="s">
        <v>114</v>
      </c>
      <c r="P244" s="3" t="s">
        <v>235</v>
      </c>
      <c r="R244" s="3" t="s">
        <v>68</v>
      </c>
      <c r="S244" s="4">
        <v>4</v>
      </c>
      <c r="T244" s="4">
        <v>4</v>
      </c>
      <c r="U244" s="5" t="s">
        <v>606</v>
      </c>
      <c r="V244" s="5" t="s">
        <v>606</v>
      </c>
      <c r="W244" s="5" t="s">
        <v>3038</v>
      </c>
      <c r="X244" s="5" t="s">
        <v>3038</v>
      </c>
      <c r="Y244" s="4">
        <v>183</v>
      </c>
      <c r="Z244" s="4">
        <v>163</v>
      </c>
      <c r="AA244" s="4">
        <v>183</v>
      </c>
      <c r="AB244" s="4">
        <v>2</v>
      </c>
      <c r="AC244" s="4">
        <v>2</v>
      </c>
      <c r="AD244" s="4">
        <v>10</v>
      </c>
      <c r="AE244" s="4">
        <v>12</v>
      </c>
      <c r="AF244" s="4">
        <v>4</v>
      </c>
      <c r="AG244" s="4">
        <v>4</v>
      </c>
      <c r="AH244" s="4">
        <v>2</v>
      </c>
      <c r="AI244" s="4">
        <v>2</v>
      </c>
      <c r="AJ244" s="4">
        <v>6</v>
      </c>
      <c r="AK244" s="4">
        <v>6</v>
      </c>
      <c r="AL244" s="4">
        <v>1</v>
      </c>
      <c r="AM244" s="4">
        <v>1</v>
      </c>
      <c r="AN244" s="4">
        <v>1</v>
      </c>
      <c r="AO244" s="4">
        <v>3</v>
      </c>
      <c r="AP244" s="3" t="s">
        <v>61</v>
      </c>
      <c r="AQ244" s="3" t="s">
        <v>59</v>
      </c>
      <c r="AR244" s="6" t="str">
        <f>HYPERLINK("http://catalog.hathitrust.org/Record/002863808","HathiTrust Record")</f>
        <v>HathiTrust Record</v>
      </c>
      <c r="AS244" s="6" t="str">
        <f>HYPERLINK("https://creighton-primo.hosted.exlibrisgroup.com/primo-explore/search?tab=default_tab&amp;search_scope=EVERYTHING&amp;vid=01CRU&amp;lang=en_US&amp;offset=0&amp;query=any,contains,991002275719702656","Catalog Record")</f>
        <v>Catalog Record</v>
      </c>
      <c r="AT244" s="6" t="str">
        <f>HYPERLINK("http://www.worldcat.org/oclc/29522474","WorldCat Record")</f>
        <v>WorldCat Record</v>
      </c>
      <c r="AU244" s="3" t="s">
        <v>3039</v>
      </c>
      <c r="AV244" s="3" t="s">
        <v>3040</v>
      </c>
      <c r="AW244" s="3" t="s">
        <v>3041</v>
      </c>
      <c r="AX244" s="3" t="s">
        <v>3041</v>
      </c>
      <c r="AY244" s="3" t="s">
        <v>3042</v>
      </c>
      <c r="AZ244" s="3" t="s">
        <v>75</v>
      </c>
      <c r="BB244" s="3" t="s">
        <v>3043</v>
      </c>
      <c r="BC244" s="3" t="s">
        <v>3044</v>
      </c>
      <c r="BD244" s="3" t="s">
        <v>3045</v>
      </c>
    </row>
    <row r="245" spans="1:56" ht="44.25" customHeight="1" x14ac:dyDescent="0.25">
      <c r="A245" s="7" t="s">
        <v>61</v>
      </c>
      <c r="B245" s="2" t="s">
        <v>3046</v>
      </c>
      <c r="C245" s="2" t="s">
        <v>3047</v>
      </c>
      <c r="D245" s="2" t="s">
        <v>3048</v>
      </c>
      <c r="F245" s="3" t="s">
        <v>61</v>
      </c>
      <c r="G245" s="3" t="s">
        <v>60</v>
      </c>
      <c r="H245" s="3" t="s">
        <v>61</v>
      </c>
      <c r="I245" s="3" t="s">
        <v>61</v>
      </c>
      <c r="J245" s="3" t="s">
        <v>62</v>
      </c>
      <c r="L245" s="2" t="s">
        <v>3049</v>
      </c>
      <c r="M245" s="3" t="s">
        <v>407</v>
      </c>
      <c r="O245" s="3" t="s">
        <v>114</v>
      </c>
      <c r="P245" s="3" t="s">
        <v>235</v>
      </c>
      <c r="R245" s="3" t="s">
        <v>68</v>
      </c>
      <c r="S245" s="4">
        <v>9</v>
      </c>
      <c r="T245" s="4">
        <v>9</v>
      </c>
      <c r="U245" s="5" t="s">
        <v>3050</v>
      </c>
      <c r="V245" s="5" t="s">
        <v>3050</v>
      </c>
      <c r="W245" s="5" t="s">
        <v>365</v>
      </c>
      <c r="X245" s="5" t="s">
        <v>365</v>
      </c>
      <c r="Y245" s="4">
        <v>494</v>
      </c>
      <c r="Z245" s="4">
        <v>373</v>
      </c>
      <c r="AA245" s="4">
        <v>391</v>
      </c>
      <c r="AB245" s="4">
        <v>2</v>
      </c>
      <c r="AC245" s="4">
        <v>2</v>
      </c>
      <c r="AD245" s="4">
        <v>23</v>
      </c>
      <c r="AE245" s="4">
        <v>24</v>
      </c>
      <c r="AF245" s="4">
        <v>11</v>
      </c>
      <c r="AG245" s="4">
        <v>12</v>
      </c>
      <c r="AH245" s="4">
        <v>6</v>
      </c>
      <c r="AI245" s="4">
        <v>6</v>
      </c>
      <c r="AJ245" s="4">
        <v>12</v>
      </c>
      <c r="AK245" s="4">
        <v>12</v>
      </c>
      <c r="AL245" s="4">
        <v>1</v>
      </c>
      <c r="AM245" s="4">
        <v>1</v>
      </c>
      <c r="AN245" s="4">
        <v>1</v>
      </c>
      <c r="AO245" s="4">
        <v>1</v>
      </c>
      <c r="AP245" s="3" t="s">
        <v>61</v>
      </c>
      <c r="AQ245" s="3" t="s">
        <v>59</v>
      </c>
      <c r="AR245" s="6" t="str">
        <f>HYPERLINK("http://catalog.hathitrust.org/Record/002989467","HathiTrust Record")</f>
        <v>HathiTrust Record</v>
      </c>
      <c r="AS245" s="6" t="str">
        <f>HYPERLINK("https://creighton-primo.hosted.exlibrisgroup.com/primo-explore/search?tab=default_tab&amp;search_scope=EVERYTHING&amp;vid=01CRU&amp;lang=en_US&amp;offset=0&amp;query=any,contains,991002482739702656","Catalog Record")</f>
        <v>Catalog Record</v>
      </c>
      <c r="AT245" s="6" t="str">
        <f>HYPERLINK("http://www.worldcat.org/oclc/32312676","WorldCat Record")</f>
        <v>WorldCat Record</v>
      </c>
      <c r="AU245" s="3" t="s">
        <v>3051</v>
      </c>
      <c r="AV245" s="3" t="s">
        <v>3052</v>
      </c>
      <c r="AW245" s="3" t="s">
        <v>3053</v>
      </c>
      <c r="AX245" s="3" t="s">
        <v>3053</v>
      </c>
      <c r="AY245" s="3" t="s">
        <v>3054</v>
      </c>
      <c r="AZ245" s="3" t="s">
        <v>75</v>
      </c>
      <c r="BB245" s="3" t="s">
        <v>3055</v>
      </c>
      <c r="BC245" s="3" t="s">
        <v>3056</v>
      </c>
      <c r="BD245" s="3" t="s">
        <v>3057</v>
      </c>
    </row>
    <row r="246" spans="1:56" ht="44.25" customHeight="1" x14ac:dyDescent="0.25">
      <c r="A246" s="7" t="s">
        <v>61</v>
      </c>
      <c r="B246" s="2" t="s">
        <v>3058</v>
      </c>
      <c r="C246" s="2" t="s">
        <v>3059</v>
      </c>
      <c r="D246" s="2" t="s">
        <v>3060</v>
      </c>
      <c r="F246" s="3" t="s">
        <v>61</v>
      </c>
      <c r="G246" s="3" t="s">
        <v>60</v>
      </c>
      <c r="H246" s="3" t="s">
        <v>61</v>
      </c>
      <c r="I246" s="3" t="s">
        <v>61</v>
      </c>
      <c r="J246" s="3" t="s">
        <v>62</v>
      </c>
      <c r="K246" s="2" t="s">
        <v>3061</v>
      </c>
      <c r="L246" s="2" t="s">
        <v>3062</v>
      </c>
      <c r="M246" s="3" t="s">
        <v>536</v>
      </c>
      <c r="N246" s="2" t="s">
        <v>634</v>
      </c>
      <c r="O246" s="3" t="s">
        <v>114</v>
      </c>
      <c r="P246" s="3" t="s">
        <v>235</v>
      </c>
      <c r="R246" s="3" t="s">
        <v>68</v>
      </c>
      <c r="S246" s="4">
        <v>0</v>
      </c>
      <c r="T246" s="4">
        <v>0</v>
      </c>
      <c r="U246" s="5" t="s">
        <v>3063</v>
      </c>
      <c r="V246" s="5" t="s">
        <v>3063</v>
      </c>
      <c r="W246" s="5" t="s">
        <v>3064</v>
      </c>
      <c r="X246" s="5" t="s">
        <v>3064</v>
      </c>
      <c r="Y246" s="4">
        <v>681</v>
      </c>
      <c r="Z246" s="4">
        <v>589</v>
      </c>
      <c r="AA246" s="4">
        <v>595</v>
      </c>
      <c r="AB246" s="4">
        <v>3</v>
      </c>
      <c r="AC246" s="4">
        <v>3</v>
      </c>
      <c r="AD246" s="4">
        <v>23</v>
      </c>
      <c r="AE246" s="4">
        <v>23</v>
      </c>
      <c r="AF246" s="4">
        <v>9</v>
      </c>
      <c r="AG246" s="4">
        <v>9</v>
      </c>
      <c r="AH246" s="4">
        <v>6</v>
      </c>
      <c r="AI246" s="4">
        <v>6</v>
      </c>
      <c r="AJ246" s="4">
        <v>14</v>
      </c>
      <c r="AK246" s="4">
        <v>14</v>
      </c>
      <c r="AL246" s="4">
        <v>2</v>
      </c>
      <c r="AM246" s="4">
        <v>2</v>
      </c>
      <c r="AN246" s="4">
        <v>0</v>
      </c>
      <c r="AO246" s="4">
        <v>0</v>
      </c>
      <c r="AP246" s="3" t="s">
        <v>61</v>
      </c>
      <c r="AQ246" s="3" t="s">
        <v>59</v>
      </c>
      <c r="AR246" s="6" t="str">
        <f>HYPERLINK("http://catalog.hathitrust.org/Record/003944498","HathiTrust Record")</f>
        <v>HathiTrust Record</v>
      </c>
      <c r="AS246" s="6" t="str">
        <f>HYPERLINK("https://creighton-primo.hosted.exlibrisgroup.com/primo-explore/search?tab=default_tab&amp;search_scope=EVERYTHING&amp;vid=01CRU&amp;lang=en_US&amp;offset=0&amp;query=any,contains,991002773659702656","Catalog Record")</f>
        <v>Catalog Record</v>
      </c>
      <c r="AT246" s="6" t="str">
        <f>HYPERLINK("http://www.worldcat.org/oclc/36423394","WorldCat Record")</f>
        <v>WorldCat Record</v>
      </c>
      <c r="AU246" s="3" t="s">
        <v>3065</v>
      </c>
      <c r="AV246" s="3" t="s">
        <v>3066</v>
      </c>
      <c r="AW246" s="3" t="s">
        <v>3067</v>
      </c>
      <c r="AX246" s="3" t="s">
        <v>3067</v>
      </c>
      <c r="AY246" s="3" t="s">
        <v>3068</v>
      </c>
      <c r="AZ246" s="3" t="s">
        <v>75</v>
      </c>
      <c r="BB246" s="3" t="s">
        <v>3069</v>
      </c>
      <c r="BC246" s="3" t="s">
        <v>3070</v>
      </c>
      <c r="BD246" s="3" t="s">
        <v>3071</v>
      </c>
    </row>
    <row r="247" spans="1:56" ht="44.25" customHeight="1" x14ac:dyDescent="0.25">
      <c r="A247" s="7" t="s">
        <v>61</v>
      </c>
      <c r="B247" s="2" t="s">
        <v>3072</v>
      </c>
      <c r="C247" s="2" t="s">
        <v>3073</v>
      </c>
      <c r="D247" s="2" t="s">
        <v>3074</v>
      </c>
      <c r="F247" s="3" t="s">
        <v>61</v>
      </c>
      <c r="G247" s="3" t="s">
        <v>60</v>
      </c>
      <c r="H247" s="3" t="s">
        <v>61</v>
      </c>
      <c r="I247" s="3" t="s">
        <v>61</v>
      </c>
      <c r="J247" s="3" t="s">
        <v>62</v>
      </c>
      <c r="K247" s="2" t="s">
        <v>3075</v>
      </c>
      <c r="L247" s="2" t="s">
        <v>3076</v>
      </c>
      <c r="M247" s="3" t="s">
        <v>1319</v>
      </c>
      <c r="O247" s="3" t="s">
        <v>114</v>
      </c>
      <c r="P247" s="3" t="s">
        <v>235</v>
      </c>
      <c r="Q247" s="2" t="s">
        <v>3077</v>
      </c>
      <c r="R247" s="3" t="s">
        <v>68</v>
      </c>
      <c r="S247" s="4">
        <v>2</v>
      </c>
      <c r="T247" s="4">
        <v>2</v>
      </c>
      <c r="U247" s="5" t="s">
        <v>1427</v>
      </c>
      <c r="V247" s="5" t="s">
        <v>1427</v>
      </c>
      <c r="W247" s="5" t="s">
        <v>2570</v>
      </c>
      <c r="X247" s="5" t="s">
        <v>2570</v>
      </c>
      <c r="Y247" s="4">
        <v>509</v>
      </c>
      <c r="Z247" s="4">
        <v>475</v>
      </c>
      <c r="AA247" s="4">
        <v>903</v>
      </c>
      <c r="AB247" s="4">
        <v>7</v>
      </c>
      <c r="AC247" s="4">
        <v>8</v>
      </c>
      <c r="AD247" s="4">
        <v>25</v>
      </c>
      <c r="AE247" s="4">
        <v>45</v>
      </c>
      <c r="AF247" s="4">
        <v>7</v>
      </c>
      <c r="AG247" s="4">
        <v>16</v>
      </c>
      <c r="AH247" s="4">
        <v>5</v>
      </c>
      <c r="AI247" s="4">
        <v>8</v>
      </c>
      <c r="AJ247" s="4">
        <v>12</v>
      </c>
      <c r="AK247" s="4">
        <v>26</v>
      </c>
      <c r="AL247" s="4">
        <v>6</v>
      </c>
      <c r="AM247" s="4">
        <v>7</v>
      </c>
      <c r="AN247" s="4">
        <v>0</v>
      </c>
      <c r="AO247" s="4">
        <v>0</v>
      </c>
      <c r="AP247" s="3" t="s">
        <v>61</v>
      </c>
      <c r="AQ247" s="3" t="s">
        <v>61</v>
      </c>
      <c r="AS247" s="6" t="str">
        <f>HYPERLINK("https://creighton-primo.hosted.exlibrisgroup.com/primo-explore/search?tab=default_tab&amp;search_scope=EVERYTHING&amp;vid=01CRU&amp;lang=en_US&amp;offset=0&amp;query=any,contains,991002663029702656","Catalog Record")</f>
        <v>Catalog Record</v>
      </c>
      <c r="AT247" s="6" t="str">
        <f>HYPERLINK("http://www.worldcat.org/oclc/392093","WorldCat Record")</f>
        <v>WorldCat Record</v>
      </c>
      <c r="AU247" s="3" t="s">
        <v>3078</v>
      </c>
      <c r="AV247" s="3" t="s">
        <v>3079</v>
      </c>
      <c r="AW247" s="3" t="s">
        <v>3080</v>
      </c>
      <c r="AX247" s="3" t="s">
        <v>3080</v>
      </c>
      <c r="AY247" s="3" t="s">
        <v>3081</v>
      </c>
      <c r="AZ247" s="3" t="s">
        <v>75</v>
      </c>
      <c r="BC247" s="3" t="s">
        <v>3082</v>
      </c>
      <c r="BD247" s="3" t="s">
        <v>3083</v>
      </c>
    </row>
    <row r="248" spans="1:56" ht="44.25" customHeight="1" x14ac:dyDescent="0.25">
      <c r="A248" s="7" t="s">
        <v>61</v>
      </c>
      <c r="B248" s="2" t="s">
        <v>3084</v>
      </c>
      <c r="C248" s="2" t="s">
        <v>3085</v>
      </c>
      <c r="D248" s="2" t="s">
        <v>3086</v>
      </c>
      <c r="F248" s="3" t="s">
        <v>61</v>
      </c>
      <c r="G248" s="3" t="s">
        <v>60</v>
      </c>
      <c r="H248" s="3" t="s">
        <v>61</v>
      </c>
      <c r="I248" s="3" t="s">
        <v>61</v>
      </c>
      <c r="J248" s="3" t="s">
        <v>62</v>
      </c>
      <c r="K248" s="2" t="s">
        <v>3087</v>
      </c>
      <c r="L248" s="2" t="s">
        <v>3088</v>
      </c>
      <c r="M248" s="3" t="s">
        <v>1571</v>
      </c>
      <c r="O248" s="3" t="s">
        <v>114</v>
      </c>
      <c r="P248" s="3" t="s">
        <v>235</v>
      </c>
      <c r="Q248" s="2" t="s">
        <v>3089</v>
      </c>
      <c r="R248" s="3" t="s">
        <v>68</v>
      </c>
      <c r="S248" s="4">
        <v>2</v>
      </c>
      <c r="T248" s="4">
        <v>2</v>
      </c>
      <c r="U248" s="5" t="s">
        <v>1427</v>
      </c>
      <c r="V248" s="5" t="s">
        <v>1427</v>
      </c>
      <c r="W248" s="5" t="s">
        <v>2570</v>
      </c>
      <c r="X248" s="5" t="s">
        <v>2570</v>
      </c>
      <c r="Y248" s="4">
        <v>566</v>
      </c>
      <c r="Z248" s="4">
        <v>473</v>
      </c>
      <c r="AA248" s="4">
        <v>799</v>
      </c>
      <c r="AB248" s="4">
        <v>5</v>
      </c>
      <c r="AC248" s="4">
        <v>8</v>
      </c>
      <c r="AD248" s="4">
        <v>29</v>
      </c>
      <c r="AE248" s="4">
        <v>45</v>
      </c>
      <c r="AF248" s="4">
        <v>10</v>
      </c>
      <c r="AG248" s="4">
        <v>16</v>
      </c>
      <c r="AH248" s="4">
        <v>6</v>
      </c>
      <c r="AI248" s="4">
        <v>11</v>
      </c>
      <c r="AJ248" s="4">
        <v>18</v>
      </c>
      <c r="AK248" s="4">
        <v>25</v>
      </c>
      <c r="AL248" s="4">
        <v>4</v>
      </c>
      <c r="AM248" s="4">
        <v>7</v>
      </c>
      <c r="AN248" s="4">
        <v>0</v>
      </c>
      <c r="AO248" s="4">
        <v>0</v>
      </c>
      <c r="AP248" s="3" t="s">
        <v>61</v>
      </c>
      <c r="AQ248" s="3" t="s">
        <v>59</v>
      </c>
      <c r="AR248" s="6" t="str">
        <f>HYPERLINK("http://catalog.hathitrust.org/Record/000632343","HathiTrust Record")</f>
        <v>HathiTrust Record</v>
      </c>
      <c r="AS248" s="6" t="str">
        <f>HYPERLINK("https://creighton-primo.hosted.exlibrisgroup.com/primo-explore/search?tab=default_tab&amp;search_scope=EVERYTHING&amp;vid=01CRU&amp;lang=en_US&amp;offset=0&amp;query=any,contains,991003986779702656","Catalog Record")</f>
        <v>Catalog Record</v>
      </c>
      <c r="AT248" s="6" t="str">
        <f>HYPERLINK("http://www.worldcat.org/oclc/2034023","WorldCat Record")</f>
        <v>WorldCat Record</v>
      </c>
      <c r="AU248" s="3" t="s">
        <v>3090</v>
      </c>
      <c r="AV248" s="3" t="s">
        <v>3091</v>
      </c>
      <c r="AW248" s="3" t="s">
        <v>3092</v>
      </c>
      <c r="AX248" s="3" t="s">
        <v>3092</v>
      </c>
      <c r="AY248" s="3" t="s">
        <v>3093</v>
      </c>
      <c r="AZ248" s="3" t="s">
        <v>75</v>
      </c>
      <c r="BC248" s="3" t="s">
        <v>3094</v>
      </c>
      <c r="BD248" s="3" t="s">
        <v>3095</v>
      </c>
    </row>
    <row r="249" spans="1:56" ht="44.25" customHeight="1" x14ac:dyDescent="0.25">
      <c r="A249" s="7" t="s">
        <v>61</v>
      </c>
      <c r="B249" s="2" t="s">
        <v>3096</v>
      </c>
      <c r="C249" s="2" t="s">
        <v>3097</v>
      </c>
      <c r="D249" s="2" t="s">
        <v>3098</v>
      </c>
      <c r="F249" s="3" t="s">
        <v>61</v>
      </c>
      <c r="G249" s="3" t="s">
        <v>60</v>
      </c>
      <c r="H249" s="3" t="s">
        <v>61</v>
      </c>
      <c r="I249" s="3" t="s">
        <v>61</v>
      </c>
      <c r="J249" s="3" t="s">
        <v>62</v>
      </c>
      <c r="K249" s="2" t="s">
        <v>3099</v>
      </c>
      <c r="L249" s="2" t="s">
        <v>3100</v>
      </c>
      <c r="M249" s="3" t="s">
        <v>422</v>
      </c>
      <c r="N249" s="2" t="s">
        <v>634</v>
      </c>
      <c r="O249" s="3" t="s">
        <v>114</v>
      </c>
      <c r="P249" s="3" t="s">
        <v>235</v>
      </c>
      <c r="R249" s="3" t="s">
        <v>68</v>
      </c>
      <c r="S249" s="4">
        <v>9</v>
      </c>
      <c r="T249" s="4">
        <v>9</v>
      </c>
      <c r="U249" s="5" t="s">
        <v>969</v>
      </c>
      <c r="V249" s="5" t="s">
        <v>969</v>
      </c>
      <c r="W249" s="5" t="s">
        <v>3101</v>
      </c>
      <c r="X249" s="5" t="s">
        <v>3101</v>
      </c>
      <c r="Y249" s="4">
        <v>1381</v>
      </c>
      <c r="Z249" s="4">
        <v>1288</v>
      </c>
      <c r="AA249" s="4">
        <v>1416</v>
      </c>
      <c r="AB249" s="4">
        <v>12</v>
      </c>
      <c r="AC249" s="4">
        <v>13</v>
      </c>
      <c r="AD249" s="4">
        <v>35</v>
      </c>
      <c r="AE249" s="4">
        <v>39</v>
      </c>
      <c r="AF249" s="4">
        <v>11</v>
      </c>
      <c r="AG249" s="4">
        <v>11</v>
      </c>
      <c r="AH249" s="4">
        <v>8</v>
      </c>
      <c r="AI249" s="4">
        <v>9</v>
      </c>
      <c r="AJ249" s="4">
        <v>16</v>
      </c>
      <c r="AK249" s="4">
        <v>19</v>
      </c>
      <c r="AL249" s="4">
        <v>8</v>
      </c>
      <c r="AM249" s="4">
        <v>9</v>
      </c>
      <c r="AN249" s="4">
        <v>0</v>
      </c>
      <c r="AO249" s="4">
        <v>0</v>
      </c>
      <c r="AP249" s="3" t="s">
        <v>61</v>
      </c>
      <c r="AQ249" s="3" t="s">
        <v>59</v>
      </c>
      <c r="AR249" s="6" t="str">
        <f>HYPERLINK("http://catalog.hathitrust.org/Record/003964219","HathiTrust Record")</f>
        <v>HathiTrust Record</v>
      </c>
      <c r="AS249" s="6" t="str">
        <f>HYPERLINK("https://creighton-primo.hosted.exlibrisgroup.com/primo-explore/search?tab=default_tab&amp;search_scope=EVERYTHING&amp;vid=01CRU&amp;lang=en_US&amp;offset=0&amp;query=any,contains,991002802889702656","Catalog Record")</f>
        <v>Catalog Record</v>
      </c>
      <c r="AT249" s="6" t="str">
        <f>HYPERLINK("http://www.worldcat.org/oclc/36817248","WorldCat Record")</f>
        <v>WorldCat Record</v>
      </c>
      <c r="AU249" s="3" t="s">
        <v>3102</v>
      </c>
      <c r="AV249" s="3" t="s">
        <v>3103</v>
      </c>
      <c r="AW249" s="3" t="s">
        <v>3104</v>
      </c>
      <c r="AX249" s="3" t="s">
        <v>3104</v>
      </c>
      <c r="AY249" s="3" t="s">
        <v>3105</v>
      </c>
      <c r="AZ249" s="3" t="s">
        <v>75</v>
      </c>
      <c r="BB249" s="3" t="s">
        <v>3106</v>
      </c>
      <c r="BC249" s="3" t="s">
        <v>3107</v>
      </c>
      <c r="BD249" s="3" t="s">
        <v>3108</v>
      </c>
    </row>
    <row r="250" spans="1:56" ht="44.25" customHeight="1" x14ac:dyDescent="0.25">
      <c r="A250" s="7" t="s">
        <v>61</v>
      </c>
      <c r="B250" s="2" t="s">
        <v>3109</v>
      </c>
      <c r="C250" s="2" t="s">
        <v>3110</v>
      </c>
      <c r="D250" s="2" t="s">
        <v>3111</v>
      </c>
      <c r="F250" s="3" t="s">
        <v>61</v>
      </c>
      <c r="G250" s="3" t="s">
        <v>60</v>
      </c>
      <c r="H250" s="3" t="s">
        <v>61</v>
      </c>
      <c r="I250" s="3" t="s">
        <v>61</v>
      </c>
      <c r="J250" s="3" t="s">
        <v>62</v>
      </c>
      <c r="K250" s="2" t="s">
        <v>3112</v>
      </c>
      <c r="L250" s="2" t="s">
        <v>3113</v>
      </c>
      <c r="M250" s="3" t="s">
        <v>113</v>
      </c>
      <c r="O250" s="3" t="s">
        <v>114</v>
      </c>
      <c r="P250" s="3" t="s">
        <v>235</v>
      </c>
      <c r="Q250" s="2" t="s">
        <v>3077</v>
      </c>
      <c r="R250" s="3" t="s">
        <v>68</v>
      </c>
      <c r="S250" s="4">
        <v>9</v>
      </c>
      <c r="T250" s="4">
        <v>9</v>
      </c>
      <c r="U250" s="5" t="s">
        <v>2864</v>
      </c>
      <c r="V250" s="5" t="s">
        <v>2864</v>
      </c>
      <c r="W250" s="5" t="s">
        <v>2570</v>
      </c>
      <c r="X250" s="5" t="s">
        <v>2570</v>
      </c>
      <c r="Y250" s="4">
        <v>611</v>
      </c>
      <c r="Z250" s="4">
        <v>570</v>
      </c>
      <c r="AA250" s="4">
        <v>942</v>
      </c>
      <c r="AB250" s="4">
        <v>5</v>
      </c>
      <c r="AC250" s="4">
        <v>7</v>
      </c>
      <c r="AD250" s="4">
        <v>21</v>
      </c>
      <c r="AE250" s="4">
        <v>40</v>
      </c>
      <c r="AF250" s="4">
        <v>8</v>
      </c>
      <c r="AG250" s="4">
        <v>13</v>
      </c>
      <c r="AH250" s="4">
        <v>5</v>
      </c>
      <c r="AI250" s="4">
        <v>9</v>
      </c>
      <c r="AJ250" s="4">
        <v>11</v>
      </c>
      <c r="AK250" s="4">
        <v>25</v>
      </c>
      <c r="AL250" s="4">
        <v>4</v>
      </c>
      <c r="AM250" s="4">
        <v>6</v>
      </c>
      <c r="AN250" s="4">
        <v>0</v>
      </c>
      <c r="AO250" s="4">
        <v>0</v>
      </c>
      <c r="AP250" s="3" t="s">
        <v>61</v>
      </c>
      <c r="AQ250" s="3" t="s">
        <v>59</v>
      </c>
      <c r="AR250" s="6" t="str">
        <f>HYPERLINK("http://catalog.hathitrust.org/Record/000674007","HathiTrust Record")</f>
        <v>HathiTrust Record</v>
      </c>
      <c r="AS250" s="6" t="str">
        <f>HYPERLINK("https://creighton-primo.hosted.exlibrisgroup.com/primo-explore/search?tab=default_tab&amp;search_scope=EVERYTHING&amp;vid=01CRU&amp;lang=en_US&amp;offset=0&amp;query=any,contains,991002662999702656","Catalog Record")</f>
        <v>Catalog Record</v>
      </c>
      <c r="AT250" s="6" t="str">
        <f>HYPERLINK("http://www.worldcat.org/oclc/392090","WorldCat Record")</f>
        <v>WorldCat Record</v>
      </c>
      <c r="AU250" s="3" t="s">
        <v>3114</v>
      </c>
      <c r="AV250" s="3" t="s">
        <v>3115</v>
      </c>
      <c r="AW250" s="3" t="s">
        <v>3116</v>
      </c>
      <c r="AX250" s="3" t="s">
        <v>3116</v>
      </c>
      <c r="AY250" s="3" t="s">
        <v>3117</v>
      </c>
      <c r="AZ250" s="3" t="s">
        <v>75</v>
      </c>
      <c r="BC250" s="3" t="s">
        <v>3118</v>
      </c>
      <c r="BD250" s="3" t="s">
        <v>3119</v>
      </c>
    </row>
    <row r="251" spans="1:56" ht="44.25" customHeight="1" x14ac:dyDescent="0.25">
      <c r="A251" s="7" t="s">
        <v>61</v>
      </c>
      <c r="B251" s="2" t="s">
        <v>3120</v>
      </c>
      <c r="C251" s="2" t="s">
        <v>3121</v>
      </c>
      <c r="D251" s="2" t="s">
        <v>3122</v>
      </c>
      <c r="F251" s="3" t="s">
        <v>61</v>
      </c>
      <c r="G251" s="3" t="s">
        <v>60</v>
      </c>
      <c r="H251" s="3" t="s">
        <v>61</v>
      </c>
      <c r="I251" s="3" t="s">
        <v>61</v>
      </c>
      <c r="J251" s="3" t="s">
        <v>62</v>
      </c>
      <c r="K251" s="2" t="s">
        <v>3123</v>
      </c>
      <c r="L251" s="2" t="s">
        <v>3124</v>
      </c>
      <c r="M251" s="3" t="s">
        <v>1596</v>
      </c>
      <c r="O251" s="3" t="s">
        <v>114</v>
      </c>
      <c r="P251" s="3" t="s">
        <v>235</v>
      </c>
      <c r="Q251" s="2" t="s">
        <v>3125</v>
      </c>
      <c r="R251" s="3" t="s">
        <v>68</v>
      </c>
      <c r="S251" s="4">
        <v>3</v>
      </c>
      <c r="T251" s="4">
        <v>3</v>
      </c>
      <c r="U251" s="5" t="s">
        <v>3126</v>
      </c>
      <c r="V251" s="5" t="s">
        <v>3126</v>
      </c>
      <c r="W251" s="5" t="s">
        <v>2570</v>
      </c>
      <c r="X251" s="5" t="s">
        <v>2570</v>
      </c>
      <c r="Y251" s="4">
        <v>183</v>
      </c>
      <c r="Z251" s="4">
        <v>167</v>
      </c>
      <c r="AA251" s="4">
        <v>365</v>
      </c>
      <c r="AB251" s="4">
        <v>1</v>
      </c>
      <c r="AC251" s="4">
        <v>2</v>
      </c>
      <c r="AD251" s="4">
        <v>7</v>
      </c>
      <c r="AE251" s="4">
        <v>20</v>
      </c>
      <c r="AF251" s="4">
        <v>0</v>
      </c>
      <c r="AG251" s="4">
        <v>5</v>
      </c>
      <c r="AH251" s="4">
        <v>2</v>
      </c>
      <c r="AI251" s="4">
        <v>6</v>
      </c>
      <c r="AJ251" s="4">
        <v>7</v>
      </c>
      <c r="AK251" s="4">
        <v>16</v>
      </c>
      <c r="AL251" s="4">
        <v>0</v>
      </c>
      <c r="AM251" s="4">
        <v>1</v>
      </c>
      <c r="AN251" s="4">
        <v>0</v>
      </c>
      <c r="AO251" s="4">
        <v>0</v>
      </c>
      <c r="AP251" s="3" t="s">
        <v>61</v>
      </c>
      <c r="AQ251" s="3" t="s">
        <v>61</v>
      </c>
      <c r="AS251" s="6" t="str">
        <f>HYPERLINK("https://creighton-primo.hosted.exlibrisgroup.com/primo-explore/search?tab=default_tab&amp;search_scope=EVERYTHING&amp;vid=01CRU&amp;lang=en_US&amp;offset=0&amp;query=any,contains,991004141589702656","Catalog Record")</f>
        <v>Catalog Record</v>
      </c>
      <c r="AT251" s="6" t="str">
        <f>HYPERLINK("http://www.worldcat.org/oclc/2499571","WorldCat Record")</f>
        <v>WorldCat Record</v>
      </c>
      <c r="AU251" s="3" t="s">
        <v>3127</v>
      </c>
      <c r="AV251" s="3" t="s">
        <v>3128</v>
      </c>
      <c r="AW251" s="3" t="s">
        <v>3129</v>
      </c>
      <c r="AX251" s="3" t="s">
        <v>3129</v>
      </c>
      <c r="AY251" s="3" t="s">
        <v>3130</v>
      </c>
      <c r="AZ251" s="3" t="s">
        <v>75</v>
      </c>
      <c r="BB251" s="3" t="s">
        <v>3131</v>
      </c>
      <c r="BC251" s="3" t="s">
        <v>3132</v>
      </c>
      <c r="BD251" s="3" t="s">
        <v>3133</v>
      </c>
    </row>
    <row r="252" spans="1:56" ht="44.25" customHeight="1" x14ac:dyDescent="0.25">
      <c r="A252" s="7" t="s">
        <v>61</v>
      </c>
      <c r="B252" s="2" t="s">
        <v>3134</v>
      </c>
      <c r="C252" s="2" t="s">
        <v>3135</v>
      </c>
      <c r="D252" s="2" t="s">
        <v>3136</v>
      </c>
      <c r="F252" s="3" t="s">
        <v>61</v>
      </c>
      <c r="G252" s="3" t="s">
        <v>60</v>
      </c>
      <c r="H252" s="3" t="s">
        <v>61</v>
      </c>
      <c r="I252" s="3" t="s">
        <v>61</v>
      </c>
      <c r="J252" s="3" t="s">
        <v>62</v>
      </c>
      <c r="K252" s="2" t="s">
        <v>3137</v>
      </c>
      <c r="L252" s="2" t="s">
        <v>3138</v>
      </c>
      <c r="M252" s="3" t="s">
        <v>784</v>
      </c>
      <c r="N252" s="2" t="s">
        <v>3139</v>
      </c>
      <c r="O252" s="3" t="s">
        <v>114</v>
      </c>
      <c r="P252" s="3" t="s">
        <v>235</v>
      </c>
      <c r="Q252" s="2" t="s">
        <v>3140</v>
      </c>
      <c r="R252" s="3" t="s">
        <v>68</v>
      </c>
      <c r="S252" s="4">
        <v>7</v>
      </c>
      <c r="T252" s="4">
        <v>7</v>
      </c>
      <c r="U252" s="5" t="s">
        <v>3141</v>
      </c>
      <c r="V252" s="5" t="s">
        <v>3141</v>
      </c>
      <c r="W252" s="5" t="s">
        <v>2570</v>
      </c>
      <c r="X252" s="5" t="s">
        <v>2570</v>
      </c>
      <c r="Y252" s="4">
        <v>1037</v>
      </c>
      <c r="Z252" s="4">
        <v>989</v>
      </c>
      <c r="AA252" s="4">
        <v>1172</v>
      </c>
      <c r="AB252" s="4">
        <v>7</v>
      </c>
      <c r="AC252" s="4">
        <v>8</v>
      </c>
      <c r="AD252" s="4">
        <v>31</v>
      </c>
      <c r="AE252" s="4">
        <v>38</v>
      </c>
      <c r="AF252" s="4">
        <v>12</v>
      </c>
      <c r="AG252" s="4">
        <v>14</v>
      </c>
      <c r="AH252" s="4">
        <v>5</v>
      </c>
      <c r="AI252" s="4">
        <v>8</v>
      </c>
      <c r="AJ252" s="4">
        <v>14</v>
      </c>
      <c r="AK252" s="4">
        <v>17</v>
      </c>
      <c r="AL252" s="4">
        <v>6</v>
      </c>
      <c r="AM252" s="4">
        <v>7</v>
      </c>
      <c r="AN252" s="4">
        <v>0</v>
      </c>
      <c r="AO252" s="4">
        <v>0</v>
      </c>
      <c r="AP252" s="3" t="s">
        <v>61</v>
      </c>
      <c r="AQ252" s="3" t="s">
        <v>59</v>
      </c>
      <c r="AR252" s="6" t="str">
        <f>HYPERLINK("http://catalog.hathitrust.org/Record/000671689","HathiTrust Record")</f>
        <v>HathiTrust Record</v>
      </c>
      <c r="AS252" s="6" t="str">
        <f>HYPERLINK("https://creighton-primo.hosted.exlibrisgroup.com/primo-explore/search?tab=default_tab&amp;search_scope=EVERYTHING&amp;vid=01CRU&amp;lang=en_US&amp;offset=0&amp;query=any,contains,991000949149702656","Catalog Record")</f>
        <v>Catalog Record</v>
      </c>
      <c r="AT252" s="6" t="str">
        <f>HYPERLINK("http://www.worldcat.org/oclc/167592","WorldCat Record")</f>
        <v>WorldCat Record</v>
      </c>
      <c r="AU252" s="3" t="s">
        <v>3142</v>
      </c>
      <c r="AV252" s="3" t="s">
        <v>3143</v>
      </c>
      <c r="AW252" s="3" t="s">
        <v>3144</v>
      </c>
      <c r="AX252" s="3" t="s">
        <v>3144</v>
      </c>
      <c r="AY252" s="3" t="s">
        <v>3145</v>
      </c>
      <c r="AZ252" s="3" t="s">
        <v>75</v>
      </c>
      <c r="BC252" s="3" t="s">
        <v>3146</v>
      </c>
      <c r="BD252" s="3" t="s">
        <v>3147</v>
      </c>
    </row>
    <row r="253" spans="1:56" ht="44.25" customHeight="1" x14ac:dyDescent="0.25">
      <c r="A253" s="7" t="s">
        <v>61</v>
      </c>
      <c r="B253" s="2" t="s">
        <v>3148</v>
      </c>
      <c r="C253" s="2" t="s">
        <v>3149</v>
      </c>
      <c r="D253" s="2" t="s">
        <v>3150</v>
      </c>
      <c r="F253" s="3" t="s">
        <v>61</v>
      </c>
      <c r="G253" s="3" t="s">
        <v>60</v>
      </c>
      <c r="H253" s="3" t="s">
        <v>61</v>
      </c>
      <c r="I253" s="3" t="s">
        <v>61</v>
      </c>
      <c r="J253" s="3" t="s">
        <v>62</v>
      </c>
      <c r="K253" s="2" t="s">
        <v>3151</v>
      </c>
      <c r="L253" s="2" t="s">
        <v>3152</v>
      </c>
      <c r="M253" s="3" t="s">
        <v>552</v>
      </c>
      <c r="O253" s="3" t="s">
        <v>114</v>
      </c>
      <c r="P253" s="3" t="s">
        <v>235</v>
      </c>
      <c r="R253" s="3" t="s">
        <v>68</v>
      </c>
      <c r="S253" s="4">
        <v>6</v>
      </c>
      <c r="T253" s="4">
        <v>6</v>
      </c>
      <c r="U253" s="5" t="s">
        <v>3153</v>
      </c>
      <c r="V253" s="5" t="s">
        <v>3153</v>
      </c>
      <c r="W253" s="5" t="s">
        <v>3154</v>
      </c>
      <c r="X253" s="5" t="s">
        <v>3154</v>
      </c>
      <c r="Y253" s="4">
        <v>953</v>
      </c>
      <c r="Z253" s="4">
        <v>879</v>
      </c>
      <c r="AA253" s="4">
        <v>879</v>
      </c>
      <c r="AB253" s="4">
        <v>4</v>
      </c>
      <c r="AC253" s="4">
        <v>4</v>
      </c>
      <c r="AD253" s="4">
        <v>26</v>
      </c>
      <c r="AE253" s="4">
        <v>26</v>
      </c>
      <c r="AF253" s="4">
        <v>14</v>
      </c>
      <c r="AG253" s="4">
        <v>14</v>
      </c>
      <c r="AH253" s="4">
        <v>6</v>
      </c>
      <c r="AI253" s="4">
        <v>6</v>
      </c>
      <c r="AJ253" s="4">
        <v>12</v>
      </c>
      <c r="AK253" s="4">
        <v>12</v>
      </c>
      <c r="AL253" s="4">
        <v>2</v>
      </c>
      <c r="AM253" s="4">
        <v>2</v>
      </c>
      <c r="AN253" s="4">
        <v>0</v>
      </c>
      <c r="AO253" s="4">
        <v>0</v>
      </c>
      <c r="AP253" s="3" t="s">
        <v>61</v>
      </c>
      <c r="AQ253" s="3" t="s">
        <v>61</v>
      </c>
      <c r="AS253" s="6" t="str">
        <f>HYPERLINK("https://creighton-primo.hosted.exlibrisgroup.com/primo-explore/search?tab=default_tab&amp;search_scope=EVERYTHING&amp;vid=01CRU&amp;lang=en_US&amp;offset=0&amp;query=any,contains,991001453889702656","Catalog Record")</f>
        <v>Catalog Record</v>
      </c>
      <c r="AT253" s="6" t="str">
        <f>HYPERLINK("http://www.worldcat.org/oclc/19352920","WorldCat Record")</f>
        <v>WorldCat Record</v>
      </c>
      <c r="AU253" s="3" t="s">
        <v>3155</v>
      </c>
      <c r="AV253" s="3" t="s">
        <v>3156</v>
      </c>
      <c r="AW253" s="3" t="s">
        <v>3157</v>
      </c>
      <c r="AX253" s="3" t="s">
        <v>3157</v>
      </c>
      <c r="AY253" s="3" t="s">
        <v>3158</v>
      </c>
      <c r="AZ253" s="3" t="s">
        <v>75</v>
      </c>
      <c r="BB253" s="3" t="s">
        <v>3159</v>
      </c>
      <c r="BC253" s="3" t="s">
        <v>3160</v>
      </c>
      <c r="BD253" s="3" t="s">
        <v>3161</v>
      </c>
    </row>
    <row r="254" spans="1:56" ht="44.25" customHeight="1" x14ac:dyDescent="0.25">
      <c r="A254" s="7" t="s">
        <v>61</v>
      </c>
      <c r="B254" s="2" t="s">
        <v>3162</v>
      </c>
      <c r="C254" s="2" t="s">
        <v>3163</v>
      </c>
      <c r="D254" s="2" t="s">
        <v>3164</v>
      </c>
      <c r="F254" s="3" t="s">
        <v>61</v>
      </c>
      <c r="G254" s="3" t="s">
        <v>60</v>
      </c>
      <c r="H254" s="3" t="s">
        <v>61</v>
      </c>
      <c r="I254" s="3" t="s">
        <v>61</v>
      </c>
      <c r="J254" s="3" t="s">
        <v>62</v>
      </c>
      <c r="K254" s="2" t="s">
        <v>3165</v>
      </c>
      <c r="L254" s="2" t="s">
        <v>3166</v>
      </c>
      <c r="M254" s="3" t="s">
        <v>1465</v>
      </c>
      <c r="O254" s="3" t="s">
        <v>114</v>
      </c>
      <c r="P254" s="3" t="s">
        <v>235</v>
      </c>
      <c r="R254" s="3" t="s">
        <v>68</v>
      </c>
      <c r="S254" s="4">
        <v>5</v>
      </c>
      <c r="T254" s="4">
        <v>5</v>
      </c>
      <c r="U254" s="5" t="s">
        <v>3141</v>
      </c>
      <c r="V254" s="5" t="s">
        <v>3141</v>
      </c>
      <c r="W254" s="5" t="s">
        <v>2175</v>
      </c>
      <c r="X254" s="5" t="s">
        <v>2175</v>
      </c>
      <c r="Y254" s="4">
        <v>637</v>
      </c>
      <c r="Z254" s="4">
        <v>613</v>
      </c>
      <c r="AA254" s="4">
        <v>617</v>
      </c>
      <c r="AB254" s="4">
        <v>5</v>
      </c>
      <c r="AC254" s="4">
        <v>5</v>
      </c>
      <c r="AD254" s="4">
        <v>19</v>
      </c>
      <c r="AE254" s="4">
        <v>19</v>
      </c>
      <c r="AF254" s="4">
        <v>7</v>
      </c>
      <c r="AG254" s="4">
        <v>7</v>
      </c>
      <c r="AH254" s="4">
        <v>4</v>
      </c>
      <c r="AI254" s="4">
        <v>4</v>
      </c>
      <c r="AJ254" s="4">
        <v>9</v>
      </c>
      <c r="AK254" s="4">
        <v>9</v>
      </c>
      <c r="AL254" s="4">
        <v>3</v>
      </c>
      <c r="AM254" s="4">
        <v>3</v>
      </c>
      <c r="AN254" s="4">
        <v>0</v>
      </c>
      <c r="AO254" s="4">
        <v>0</v>
      </c>
      <c r="AP254" s="3" t="s">
        <v>61</v>
      </c>
      <c r="AQ254" s="3" t="s">
        <v>59</v>
      </c>
      <c r="AR254" s="6" t="str">
        <f>HYPERLINK("http://catalog.hathitrust.org/Record/002477296","HathiTrust Record")</f>
        <v>HathiTrust Record</v>
      </c>
      <c r="AS254" s="6" t="str">
        <f>HYPERLINK("https://creighton-primo.hosted.exlibrisgroup.com/primo-explore/search?tab=default_tab&amp;search_scope=EVERYTHING&amp;vid=01CRU&amp;lang=en_US&amp;offset=0&amp;query=any,contains,991001858879702656","Catalog Record")</f>
        <v>Catalog Record</v>
      </c>
      <c r="AT254" s="6" t="str">
        <f>HYPERLINK("http://www.worldcat.org/oclc/23356238","WorldCat Record")</f>
        <v>WorldCat Record</v>
      </c>
      <c r="AU254" s="3" t="s">
        <v>3167</v>
      </c>
      <c r="AV254" s="3" t="s">
        <v>3168</v>
      </c>
      <c r="AW254" s="3" t="s">
        <v>3169</v>
      </c>
      <c r="AX254" s="3" t="s">
        <v>3169</v>
      </c>
      <c r="AY254" s="3" t="s">
        <v>3170</v>
      </c>
      <c r="AZ254" s="3" t="s">
        <v>75</v>
      </c>
      <c r="BB254" s="3" t="s">
        <v>3171</v>
      </c>
      <c r="BC254" s="3" t="s">
        <v>3172</v>
      </c>
      <c r="BD254" s="3" t="s">
        <v>3173</v>
      </c>
    </row>
    <row r="255" spans="1:56" ht="44.25" customHeight="1" x14ac:dyDescent="0.25">
      <c r="A255" s="7" t="s">
        <v>61</v>
      </c>
      <c r="B255" s="2" t="s">
        <v>3174</v>
      </c>
      <c r="C255" s="2" t="s">
        <v>3175</v>
      </c>
      <c r="D255" s="2" t="s">
        <v>3176</v>
      </c>
      <c r="F255" s="3" t="s">
        <v>61</v>
      </c>
      <c r="G255" s="3" t="s">
        <v>60</v>
      </c>
      <c r="H255" s="3" t="s">
        <v>61</v>
      </c>
      <c r="I255" s="3" t="s">
        <v>61</v>
      </c>
      <c r="J255" s="3" t="s">
        <v>62</v>
      </c>
      <c r="K255" s="2" t="s">
        <v>3177</v>
      </c>
      <c r="L255" s="2" t="s">
        <v>3178</v>
      </c>
      <c r="M255" s="3" t="s">
        <v>3179</v>
      </c>
      <c r="O255" s="3" t="s">
        <v>114</v>
      </c>
      <c r="P255" s="3" t="s">
        <v>235</v>
      </c>
      <c r="R255" s="3" t="s">
        <v>68</v>
      </c>
      <c r="S255" s="4">
        <v>6</v>
      </c>
      <c r="T255" s="4">
        <v>6</v>
      </c>
      <c r="U255" s="5" t="s">
        <v>3180</v>
      </c>
      <c r="V255" s="5" t="s">
        <v>3180</v>
      </c>
      <c r="W255" s="5" t="s">
        <v>2570</v>
      </c>
      <c r="X255" s="5" t="s">
        <v>2570</v>
      </c>
      <c r="Y255" s="4">
        <v>200</v>
      </c>
      <c r="Z255" s="4">
        <v>187</v>
      </c>
      <c r="AA255" s="4">
        <v>198</v>
      </c>
      <c r="AB255" s="4">
        <v>5</v>
      </c>
      <c r="AC255" s="4">
        <v>5</v>
      </c>
      <c r="AD255" s="4">
        <v>13</v>
      </c>
      <c r="AE255" s="4">
        <v>13</v>
      </c>
      <c r="AF255" s="4">
        <v>2</v>
      </c>
      <c r="AG255" s="4">
        <v>2</v>
      </c>
      <c r="AH255" s="4">
        <v>5</v>
      </c>
      <c r="AI255" s="4">
        <v>5</v>
      </c>
      <c r="AJ255" s="4">
        <v>6</v>
      </c>
      <c r="AK255" s="4">
        <v>6</v>
      </c>
      <c r="AL255" s="4">
        <v>4</v>
      </c>
      <c r="AM255" s="4">
        <v>4</v>
      </c>
      <c r="AN255" s="4">
        <v>0</v>
      </c>
      <c r="AO255" s="4">
        <v>0</v>
      </c>
      <c r="AP255" s="3" t="s">
        <v>59</v>
      </c>
      <c r="AQ255" s="3" t="s">
        <v>61</v>
      </c>
      <c r="AR255" s="6" t="str">
        <f>HYPERLINK("http://catalog.hathitrust.org/Record/005872777","HathiTrust Record")</f>
        <v>HathiTrust Record</v>
      </c>
      <c r="AS255" s="6" t="str">
        <f>HYPERLINK("https://creighton-primo.hosted.exlibrisgroup.com/primo-explore/search?tab=default_tab&amp;search_scope=EVERYTHING&amp;vid=01CRU&amp;lang=en_US&amp;offset=0&amp;query=any,contains,991003668369702656","Catalog Record")</f>
        <v>Catalog Record</v>
      </c>
      <c r="AT255" s="6" t="str">
        <f>HYPERLINK("http://www.worldcat.org/oclc/1283819","WorldCat Record")</f>
        <v>WorldCat Record</v>
      </c>
      <c r="AU255" s="3" t="s">
        <v>3181</v>
      </c>
      <c r="AV255" s="3" t="s">
        <v>3182</v>
      </c>
      <c r="AW255" s="3" t="s">
        <v>3183</v>
      </c>
      <c r="AX255" s="3" t="s">
        <v>3183</v>
      </c>
      <c r="AY255" s="3" t="s">
        <v>3184</v>
      </c>
      <c r="AZ255" s="3" t="s">
        <v>75</v>
      </c>
      <c r="BC255" s="3" t="s">
        <v>3185</v>
      </c>
      <c r="BD255" s="3" t="s">
        <v>3186</v>
      </c>
    </row>
    <row r="256" spans="1:56" ht="44.25" customHeight="1" x14ac:dyDescent="0.25">
      <c r="A256" s="7" t="s">
        <v>61</v>
      </c>
      <c r="B256" s="2" t="s">
        <v>3187</v>
      </c>
      <c r="C256" s="2" t="s">
        <v>3188</v>
      </c>
      <c r="D256" s="2" t="s">
        <v>3189</v>
      </c>
      <c r="F256" s="3" t="s">
        <v>61</v>
      </c>
      <c r="G256" s="3" t="s">
        <v>60</v>
      </c>
      <c r="H256" s="3" t="s">
        <v>61</v>
      </c>
      <c r="I256" s="3" t="s">
        <v>61</v>
      </c>
      <c r="J256" s="3" t="s">
        <v>62</v>
      </c>
      <c r="L256" s="2" t="s">
        <v>3190</v>
      </c>
      <c r="M256" s="3" t="s">
        <v>755</v>
      </c>
      <c r="O256" s="3" t="s">
        <v>114</v>
      </c>
      <c r="P256" s="3" t="s">
        <v>192</v>
      </c>
      <c r="R256" s="3" t="s">
        <v>68</v>
      </c>
      <c r="S256" s="4">
        <v>3</v>
      </c>
      <c r="T256" s="4">
        <v>3</v>
      </c>
      <c r="U256" s="5" t="s">
        <v>3191</v>
      </c>
      <c r="V256" s="5" t="s">
        <v>3191</v>
      </c>
      <c r="W256" s="5" t="s">
        <v>2570</v>
      </c>
      <c r="X256" s="5" t="s">
        <v>2570</v>
      </c>
      <c r="Y256" s="4">
        <v>443</v>
      </c>
      <c r="Z256" s="4">
        <v>375</v>
      </c>
      <c r="AA256" s="4">
        <v>377</v>
      </c>
      <c r="AB256" s="4">
        <v>6</v>
      </c>
      <c r="AC256" s="4">
        <v>6</v>
      </c>
      <c r="AD256" s="4">
        <v>17</v>
      </c>
      <c r="AE256" s="4">
        <v>17</v>
      </c>
      <c r="AF256" s="4">
        <v>5</v>
      </c>
      <c r="AG256" s="4">
        <v>5</v>
      </c>
      <c r="AH256" s="4">
        <v>5</v>
      </c>
      <c r="AI256" s="4">
        <v>5</v>
      </c>
      <c r="AJ256" s="4">
        <v>6</v>
      </c>
      <c r="AK256" s="4">
        <v>6</v>
      </c>
      <c r="AL256" s="4">
        <v>5</v>
      </c>
      <c r="AM256" s="4">
        <v>5</v>
      </c>
      <c r="AN256" s="4">
        <v>0</v>
      </c>
      <c r="AO256" s="4">
        <v>0</v>
      </c>
      <c r="AP256" s="3" t="s">
        <v>61</v>
      </c>
      <c r="AQ256" s="3" t="s">
        <v>59</v>
      </c>
      <c r="AR256" s="6" t="str">
        <f>HYPERLINK("http://catalog.hathitrust.org/Record/000200558","HathiTrust Record")</f>
        <v>HathiTrust Record</v>
      </c>
      <c r="AS256" s="6" t="str">
        <f>HYPERLINK("https://creighton-primo.hosted.exlibrisgroup.com/primo-explore/search?tab=default_tab&amp;search_scope=EVERYTHING&amp;vid=01CRU&amp;lang=en_US&amp;offset=0&amp;query=any,contains,991000855479702656","Catalog Record")</f>
        <v>Catalog Record</v>
      </c>
      <c r="AT256" s="6" t="str">
        <f>HYPERLINK("http://www.worldcat.org/oclc/149339","WorldCat Record")</f>
        <v>WorldCat Record</v>
      </c>
      <c r="AU256" s="3" t="s">
        <v>3192</v>
      </c>
      <c r="AV256" s="3" t="s">
        <v>3193</v>
      </c>
      <c r="AW256" s="3" t="s">
        <v>3194</v>
      </c>
      <c r="AX256" s="3" t="s">
        <v>3194</v>
      </c>
      <c r="AY256" s="3" t="s">
        <v>3195</v>
      </c>
      <c r="AZ256" s="3" t="s">
        <v>75</v>
      </c>
      <c r="BB256" s="3" t="s">
        <v>3196</v>
      </c>
      <c r="BC256" s="3" t="s">
        <v>3197</v>
      </c>
      <c r="BD256" s="3" t="s">
        <v>3198</v>
      </c>
    </row>
    <row r="257" spans="1:56" ht="44.25" customHeight="1" x14ac:dyDescent="0.25">
      <c r="A257" s="7" t="s">
        <v>61</v>
      </c>
      <c r="B257" s="2" t="s">
        <v>3199</v>
      </c>
      <c r="C257" s="2" t="s">
        <v>3200</v>
      </c>
      <c r="D257" s="2" t="s">
        <v>3201</v>
      </c>
      <c r="F257" s="3" t="s">
        <v>61</v>
      </c>
      <c r="G257" s="3" t="s">
        <v>60</v>
      </c>
      <c r="H257" s="3" t="s">
        <v>61</v>
      </c>
      <c r="I257" s="3" t="s">
        <v>61</v>
      </c>
      <c r="J257" s="3" t="s">
        <v>62</v>
      </c>
      <c r="K257" s="2" t="s">
        <v>3202</v>
      </c>
      <c r="L257" s="2" t="s">
        <v>3203</v>
      </c>
      <c r="M257" s="3" t="s">
        <v>263</v>
      </c>
      <c r="O257" s="3" t="s">
        <v>114</v>
      </c>
      <c r="P257" s="3" t="s">
        <v>437</v>
      </c>
      <c r="R257" s="3" t="s">
        <v>68</v>
      </c>
      <c r="S257" s="4">
        <v>16</v>
      </c>
      <c r="T257" s="4">
        <v>16</v>
      </c>
      <c r="U257" s="5" t="s">
        <v>3204</v>
      </c>
      <c r="V257" s="5" t="s">
        <v>3204</v>
      </c>
      <c r="W257" s="5" t="s">
        <v>3205</v>
      </c>
      <c r="X257" s="5" t="s">
        <v>3205</v>
      </c>
      <c r="Y257" s="4">
        <v>1379</v>
      </c>
      <c r="Z257" s="4">
        <v>1075</v>
      </c>
      <c r="AA257" s="4">
        <v>1201</v>
      </c>
      <c r="AB257" s="4">
        <v>9</v>
      </c>
      <c r="AC257" s="4">
        <v>9</v>
      </c>
      <c r="AD257" s="4">
        <v>49</v>
      </c>
      <c r="AE257" s="4">
        <v>52</v>
      </c>
      <c r="AF257" s="4">
        <v>20</v>
      </c>
      <c r="AG257" s="4">
        <v>21</v>
      </c>
      <c r="AH257" s="4">
        <v>11</v>
      </c>
      <c r="AI257" s="4">
        <v>11</v>
      </c>
      <c r="AJ257" s="4">
        <v>21</v>
      </c>
      <c r="AK257" s="4">
        <v>23</v>
      </c>
      <c r="AL257" s="4">
        <v>8</v>
      </c>
      <c r="AM257" s="4">
        <v>8</v>
      </c>
      <c r="AN257" s="4">
        <v>0</v>
      </c>
      <c r="AO257" s="4">
        <v>1</v>
      </c>
      <c r="AP257" s="3" t="s">
        <v>61</v>
      </c>
      <c r="AQ257" s="3" t="s">
        <v>61</v>
      </c>
      <c r="AS257" s="6" t="str">
        <f>HYPERLINK("https://creighton-primo.hosted.exlibrisgroup.com/primo-explore/search?tab=default_tab&amp;search_scope=EVERYTHING&amp;vid=01CRU&amp;lang=en_US&amp;offset=0&amp;query=any,contains,991005206469702656","Catalog Record")</f>
        <v>Catalog Record</v>
      </c>
      <c r="AT257" s="6" t="str">
        <f>HYPERLINK("http://www.worldcat.org/oclc/8115264","WorldCat Record")</f>
        <v>WorldCat Record</v>
      </c>
      <c r="AU257" s="3" t="s">
        <v>3206</v>
      </c>
      <c r="AV257" s="3" t="s">
        <v>3207</v>
      </c>
      <c r="AW257" s="3" t="s">
        <v>3208</v>
      </c>
      <c r="AX257" s="3" t="s">
        <v>3208</v>
      </c>
      <c r="AY257" s="3" t="s">
        <v>3209</v>
      </c>
      <c r="AZ257" s="3" t="s">
        <v>75</v>
      </c>
      <c r="BB257" s="3" t="s">
        <v>3210</v>
      </c>
      <c r="BC257" s="3" t="s">
        <v>3211</v>
      </c>
      <c r="BD257" s="3" t="s">
        <v>3212</v>
      </c>
    </row>
    <row r="258" spans="1:56" ht="44.25" customHeight="1" x14ac:dyDescent="0.25">
      <c r="A258" s="7" t="s">
        <v>61</v>
      </c>
      <c r="B258" s="2" t="s">
        <v>3213</v>
      </c>
      <c r="C258" s="2" t="s">
        <v>3214</v>
      </c>
      <c r="D258" s="2" t="s">
        <v>3215</v>
      </c>
      <c r="F258" s="3" t="s">
        <v>61</v>
      </c>
      <c r="G258" s="3" t="s">
        <v>60</v>
      </c>
      <c r="H258" s="3" t="s">
        <v>61</v>
      </c>
      <c r="I258" s="3" t="s">
        <v>61</v>
      </c>
      <c r="J258" s="3" t="s">
        <v>62</v>
      </c>
      <c r="K258" s="2" t="s">
        <v>3216</v>
      </c>
      <c r="L258" s="2" t="s">
        <v>3217</v>
      </c>
      <c r="M258" s="3" t="s">
        <v>3218</v>
      </c>
      <c r="O258" s="3" t="s">
        <v>114</v>
      </c>
      <c r="P258" s="3" t="s">
        <v>115</v>
      </c>
      <c r="R258" s="3" t="s">
        <v>68</v>
      </c>
      <c r="S258" s="4">
        <v>5</v>
      </c>
      <c r="T258" s="4">
        <v>5</v>
      </c>
      <c r="U258" s="5" t="s">
        <v>3219</v>
      </c>
      <c r="V258" s="5" t="s">
        <v>3219</v>
      </c>
      <c r="W258" s="5" t="s">
        <v>2570</v>
      </c>
      <c r="X258" s="5" t="s">
        <v>2570</v>
      </c>
      <c r="Y258" s="4">
        <v>236</v>
      </c>
      <c r="Z258" s="4">
        <v>205</v>
      </c>
      <c r="AA258" s="4">
        <v>211</v>
      </c>
      <c r="AB258" s="4">
        <v>1</v>
      </c>
      <c r="AC258" s="4">
        <v>1</v>
      </c>
      <c r="AD258" s="4">
        <v>9</v>
      </c>
      <c r="AE258" s="4">
        <v>9</v>
      </c>
      <c r="AF258" s="4">
        <v>3</v>
      </c>
      <c r="AG258" s="4">
        <v>3</v>
      </c>
      <c r="AH258" s="4">
        <v>2</v>
      </c>
      <c r="AI258" s="4">
        <v>2</v>
      </c>
      <c r="AJ258" s="4">
        <v>5</v>
      </c>
      <c r="AK258" s="4">
        <v>5</v>
      </c>
      <c r="AL258" s="4">
        <v>0</v>
      </c>
      <c r="AM258" s="4">
        <v>0</v>
      </c>
      <c r="AN258" s="4">
        <v>1</v>
      </c>
      <c r="AO258" s="4">
        <v>1</v>
      </c>
      <c r="AP258" s="3" t="s">
        <v>59</v>
      </c>
      <c r="AQ258" s="3" t="s">
        <v>61</v>
      </c>
      <c r="AR258" s="6" t="str">
        <f>HYPERLINK("http://catalog.hathitrust.org/Record/005872817","HathiTrust Record")</f>
        <v>HathiTrust Record</v>
      </c>
      <c r="AS258" s="6" t="str">
        <f>HYPERLINK("https://creighton-primo.hosted.exlibrisgroup.com/primo-explore/search?tab=default_tab&amp;search_scope=EVERYTHING&amp;vid=01CRU&amp;lang=en_US&amp;offset=0&amp;query=any,contains,991003755299702656","Catalog Record")</f>
        <v>Catalog Record</v>
      </c>
      <c r="AT258" s="6" t="str">
        <f>HYPERLINK("http://www.worldcat.org/oclc/1435324","WorldCat Record")</f>
        <v>WorldCat Record</v>
      </c>
      <c r="AU258" s="3" t="s">
        <v>3220</v>
      </c>
      <c r="AV258" s="3" t="s">
        <v>3221</v>
      </c>
      <c r="AW258" s="3" t="s">
        <v>3222</v>
      </c>
      <c r="AX258" s="3" t="s">
        <v>3222</v>
      </c>
      <c r="AY258" s="3" t="s">
        <v>3223</v>
      </c>
      <c r="AZ258" s="3" t="s">
        <v>75</v>
      </c>
      <c r="BC258" s="3" t="s">
        <v>3224</v>
      </c>
      <c r="BD258" s="3" t="s">
        <v>3225</v>
      </c>
    </row>
    <row r="259" spans="1:56" ht="44.25" customHeight="1" x14ac:dyDescent="0.25">
      <c r="A259" s="7" t="s">
        <v>61</v>
      </c>
      <c r="B259" s="2" t="s">
        <v>3226</v>
      </c>
      <c r="C259" s="2" t="s">
        <v>3227</v>
      </c>
      <c r="D259" s="2" t="s">
        <v>3228</v>
      </c>
      <c r="F259" s="3" t="s">
        <v>61</v>
      </c>
      <c r="G259" s="3" t="s">
        <v>60</v>
      </c>
      <c r="H259" s="3" t="s">
        <v>61</v>
      </c>
      <c r="I259" s="3" t="s">
        <v>61</v>
      </c>
      <c r="J259" s="3" t="s">
        <v>62</v>
      </c>
      <c r="K259" s="2" t="s">
        <v>3229</v>
      </c>
      <c r="L259" s="2" t="s">
        <v>3230</v>
      </c>
      <c r="M259" s="3" t="s">
        <v>3231</v>
      </c>
      <c r="O259" s="3" t="s">
        <v>114</v>
      </c>
      <c r="P259" s="3" t="s">
        <v>235</v>
      </c>
      <c r="R259" s="3" t="s">
        <v>68</v>
      </c>
      <c r="S259" s="4">
        <v>3</v>
      </c>
      <c r="T259" s="4">
        <v>3</v>
      </c>
      <c r="U259" s="5" t="s">
        <v>3232</v>
      </c>
      <c r="V259" s="5" t="s">
        <v>3232</v>
      </c>
      <c r="W259" s="5" t="s">
        <v>2570</v>
      </c>
      <c r="X259" s="5" t="s">
        <v>2570</v>
      </c>
      <c r="Y259" s="4">
        <v>144</v>
      </c>
      <c r="Z259" s="4">
        <v>131</v>
      </c>
      <c r="AA259" s="4">
        <v>266</v>
      </c>
      <c r="AB259" s="4">
        <v>1</v>
      </c>
      <c r="AC259" s="4">
        <v>2</v>
      </c>
      <c r="AD259" s="4">
        <v>6</v>
      </c>
      <c r="AE259" s="4">
        <v>12</v>
      </c>
      <c r="AF259" s="4">
        <v>3</v>
      </c>
      <c r="AG259" s="4">
        <v>5</v>
      </c>
      <c r="AH259" s="4">
        <v>1</v>
      </c>
      <c r="AI259" s="4">
        <v>4</v>
      </c>
      <c r="AJ259" s="4">
        <v>3</v>
      </c>
      <c r="AK259" s="4">
        <v>4</v>
      </c>
      <c r="AL259" s="4">
        <v>0</v>
      </c>
      <c r="AM259" s="4">
        <v>1</v>
      </c>
      <c r="AN259" s="4">
        <v>0</v>
      </c>
      <c r="AO259" s="4">
        <v>0</v>
      </c>
      <c r="AP259" s="3" t="s">
        <v>59</v>
      </c>
      <c r="AQ259" s="3" t="s">
        <v>61</v>
      </c>
      <c r="AR259" s="6" t="str">
        <f>HYPERLINK("http://catalog.hathitrust.org/Record/006067166","HathiTrust Record")</f>
        <v>HathiTrust Record</v>
      </c>
      <c r="AS259" s="6" t="str">
        <f>HYPERLINK("https://creighton-primo.hosted.exlibrisgroup.com/primo-explore/search?tab=default_tab&amp;search_scope=EVERYTHING&amp;vid=01CRU&amp;lang=en_US&amp;offset=0&amp;query=any,contains,991004336959702656","Catalog Record")</f>
        <v>Catalog Record</v>
      </c>
      <c r="AT259" s="6" t="str">
        <f>HYPERLINK("http://www.worldcat.org/oclc/3076119","WorldCat Record")</f>
        <v>WorldCat Record</v>
      </c>
      <c r="AU259" s="3" t="s">
        <v>3233</v>
      </c>
      <c r="AV259" s="3" t="s">
        <v>3234</v>
      </c>
      <c r="AW259" s="3" t="s">
        <v>3235</v>
      </c>
      <c r="AX259" s="3" t="s">
        <v>3235</v>
      </c>
      <c r="AY259" s="3" t="s">
        <v>3236</v>
      </c>
      <c r="AZ259" s="3" t="s">
        <v>75</v>
      </c>
      <c r="BC259" s="3" t="s">
        <v>3237</v>
      </c>
      <c r="BD259" s="3" t="s">
        <v>3238</v>
      </c>
    </row>
    <row r="260" spans="1:56" ht="44.25" customHeight="1" x14ac:dyDescent="0.25">
      <c r="A260" s="7" t="s">
        <v>61</v>
      </c>
      <c r="B260" s="2" t="s">
        <v>3239</v>
      </c>
      <c r="C260" s="2" t="s">
        <v>3240</v>
      </c>
      <c r="D260" s="2" t="s">
        <v>3241</v>
      </c>
      <c r="E260" s="3" t="s">
        <v>141</v>
      </c>
      <c r="F260" s="3" t="s">
        <v>59</v>
      </c>
      <c r="G260" s="3" t="s">
        <v>60</v>
      </c>
      <c r="H260" s="3" t="s">
        <v>61</v>
      </c>
      <c r="I260" s="3" t="s">
        <v>59</v>
      </c>
      <c r="J260" s="3" t="s">
        <v>62</v>
      </c>
      <c r="K260" s="2" t="s">
        <v>3229</v>
      </c>
      <c r="L260" s="2" t="s">
        <v>3242</v>
      </c>
      <c r="M260" s="3" t="s">
        <v>144</v>
      </c>
      <c r="O260" s="3" t="s">
        <v>114</v>
      </c>
      <c r="P260" s="3" t="s">
        <v>235</v>
      </c>
      <c r="R260" s="3" t="s">
        <v>68</v>
      </c>
      <c r="S260" s="4">
        <v>3</v>
      </c>
      <c r="T260" s="4">
        <v>3</v>
      </c>
      <c r="U260" s="5" t="s">
        <v>3243</v>
      </c>
      <c r="V260" s="5" t="s">
        <v>3243</v>
      </c>
      <c r="W260" s="5" t="s">
        <v>2570</v>
      </c>
      <c r="X260" s="5" t="s">
        <v>2570</v>
      </c>
      <c r="Y260" s="4">
        <v>308</v>
      </c>
      <c r="Z260" s="4">
        <v>282</v>
      </c>
      <c r="AA260" s="4">
        <v>743</v>
      </c>
      <c r="AB260" s="4">
        <v>2</v>
      </c>
      <c r="AC260" s="4">
        <v>6</v>
      </c>
      <c r="AD260" s="4">
        <v>11</v>
      </c>
      <c r="AE260" s="4">
        <v>30</v>
      </c>
      <c r="AF260" s="4">
        <v>4</v>
      </c>
      <c r="AG260" s="4">
        <v>10</v>
      </c>
      <c r="AH260" s="4">
        <v>3</v>
      </c>
      <c r="AI260" s="4">
        <v>6</v>
      </c>
      <c r="AJ260" s="4">
        <v>5</v>
      </c>
      <c r="AK260" s="4">
        <v>16</v>
      </c>
      <c r="AL260" s="4">
        <v>1</v>
      </c>
      <c r="AM260" s="4">
        <v>4</v>
      </c>
      <c r="AN260" s="4">
        <v>0</v>
      </c>
      <c r="AO260" s="4">
        <v>1</v>
      </c>
      <c r="AP260" s="3" t="s">
        <v>59</v>
      </c>
      <c r="AQ260" s="3" t="s">
        <v>61</v>
      </c>
      <c r="AR260" s="6" t="str">
        <f>HYPERLINK("http://catalog.hathitrust.org/Record/000672561","HathiTrust Record")</f>
        <v>HathiTrust Record</v>
      </c>
      <c r="AS260" s="6" t="str">
        <f>HYPERLINK("https://creighton-primo.hosted.exlibrisgroup.com/primo-explore/search?tab=default_tab&amp;search_scope=EVERYTHING&amp;vid=01CRU&amp;lang=en_US&amp;offset=0&amp;query=any,contains,991004256749702656","Catalog Record")</f>
        <v>Catalog Record</v>
      </c>
      <c r="AT260" s="6" t="str">
        <f>HYPERLINK("http://www.worldcat.org/oclc/2828049","WorldCat Record")</f>
        <v>WorldCat Record</v>
      </c>
      <c r="AU260" s="3" t="s">
        <v>3244</v>
      </c>
      <c r="AV260" s="3" t="s">
        <v>3245</v>
      </c>
      <c r="AW260" s="3" t="s">
        <v>3246</v>
      </c>
      <c r="AX260" s="3" t="s">
        <v>3246</v>
      </c>
      <c r="AY260" s="3" t="s">
        <v>3247</v>
      </c>
      <c r="AZ260" s="3" t="s">
        <v>75</v>
      </c>
      <c r="BC260" s="3" t="s">
        <v>3248</v>
      </c>
      <c r="BD260" s="3" t="s">
        <v>3249</v>
      </c>
    </row>
    <row r="261" spans="1:56" ht="44.25" customHeight="1" x14ac:dyDescent="0.25">
      <c r="A261" s="7" t="s">
        <v>61</v>
      </c>
      <c r="B261" s="2" t="s">
        <v>3250</v>
      </c>
      <c r="C261" s="2" t="s">
        <v>3251</v>
      </c>
      <c r="D261" s="2" t="s">
        <v>3252</v>
      </c>
      <c r="F261" s="3" t="s">
        <v>61</v>
      </c>
      <c r="G261" s="3" t="s">
        <v>60</v>
      </c>
      <c r="H261" s="3" t="s">
        <v>61</v>
      </c>
      <c r="I261" s="3" t="s">
        <v>61</v>
      </c>
      <c r="J261" s="3" t="s">
        <v>62</v>
      </c>
      <c r="K261" s="2" t="s">
        <v>3253</v>
      </c>
      <c r="L261" s="2" t="s">
        <v>3254</v>
      </c>
      <c r="M261" s="3" t="s">
        <v>305</v>
      </c>
      <c r="N261" s="2" t="s">
        <v>3255</v>
      </c>
      <c r="O261" s="3" t="s">
        <v>114</v>
      </c>
      <c r="P261" s="3" t="s">
        <v>235</v>
      </c>
      <c r="R261" s="3" t="s">
        <v>68</v>
      </c>
      <c r="S261" s="4">
        <v>7</v>
      </c>
      <c r="T261" s="4">
        <v>7</v>
      </c>
      <c r="U261" s="5" t="s">
        <v>3256</v>
      </c>
      <c r="V261" s="5" t="s">
        <v>3256</v>
      </c>
      <c r="W261" s="5" t="s">
        <v>2570</v>
      </c>
      <c r="X261" s="5" t="s">
        <v>2570</v>
      </c>
      <c r="Y261" s="4">
        <v>711</v>
      </c>
      <c r="Z261" s="4">
        <v>643</v>
      </c>
      <c r="AA261" s="4">
        <v>1925</v>
      </c>
      <c r="AB261" s="4">
        <v>8</v>
      </c>
      <c r="AC261" s="4">
        <v>16</v>
      </c>
      <c r="AD261" s="4">
        <v>26</v>
      </c>
      <c r="AE261" s="4">
        <v>53</v>
      </c>
      <c r="AF261" s="4">
        <v>5</v>
      </c>
      <c r="AG261" s="4">
        <v>19</v>
      </c>
      <c r="AH261" s="4">
        <v>7</v>
      </c>
      <c r="AI261" s="4">
        <v>9</v>
      </c>
      <c r="AJ261" s="4">
        <v>12</v>
      </c>
      <c r="AK261" s="4">
        <v>22</v>
      </c>
      <c r="AL261" s="4">
        <v>5</v>
      </c>
      <c r="AM261" s="4">
        <v>10</v>
      </c>
      <c r="AN261" s="4">
        <v>1</v>
      </c>
      <c r="AO261" s="4">
        <v>3</v>
      </c>
      <c r="AP261" s="3" t="s">
        <v>61</v>
      </c>
      <c r="AQ261" s="3" t="s">
        <v>59</v>
      </c>
      <c r="AR261" s="6" t="str">
        <f>HYPERLINK("http://catalog.hathitrust.org/Record/000669958","HathiTrust Record")</f>
        <v>HathiTrust Record</v>
      </c>
      <c r="AS261" s="6" t="str">
        <f>HYPERLINK("https://creighton-primo.hosted.exlibrisgroup.com/primo-explore/search?tab=default_tab&amp;search_scope=EVERYTHING&amp;vid=01CRU&amp;lang=en_US&amp;offset=0&amp;query=any,contains,991002485909702656","Catalog Record")</f>
        <v>Catalog Record</v>
      </c>
      <c r="AT261" s="6" t="str">
        <f>HYPERLINK("http://www.worldcat.org/oclc/360886","WorldCat Record")</f>
        <v>WorldCat Record</v>
      </c>
      <c r="AU261" s="3" t="s">
        <v>3257</v>
      </c>
      <c r="AV261" s="3" t="s">
        <v>3258</v>
      </c>
      <c r="AW261" s="3" t="s">
        <v>3259</v>
      </c>
      <c r="AX261" s="3" t="s">
        <v>3259</v>
      </c>
      <c r="AY261" s="3" t="s">
        <v>3260</v>
      </c>
      <c r="AZ261" s="3" t="s">
        <v>75</v>
      </c>
      <c r="BC261" s="3" t="s">
        <v>3261</v>
      </c>
      <c r="BD261" s="3" t="s">
        <v>3262</v>
      </c>
    </row>
    <row r="262" spans="1:56" ht="44.25" customHeight="1" x14ac:dyDescent="0.25">
      <c r="A262" s="7" t="s">
        <v>61</v>
      </c>
      <c r="B262" s="2" t="s">
        <v>3263</v>
      </c>
      <c r="C262" s="2" t="s">
        <v>3264</v>
      </c>
      <c r="D262" s="2" t="s">
        <v>3265</v>
      </c>
      <c r="F262" s="3" t="s">
        <v>61</v>
      </c>
      <c r="G262" s="3" t="s">
        <v>60</v>
      </c>
      <c r="H262" s="3" t="s">
        <v>61</v>
      </c>
      <c r="I262" s="3" t="s">
        <v>61</v>
      </c>
      <c r="J262" s="3" t="s">
        <v>62</v>
      </c>
      <c r="K262" s="2" t="s">
        <v>3266</v>
      </c>
      <c r="L262" s="2" t="s">
        <v>3267</v>
      </c>
      <c r="M262" s="3" t="s">
        <v>3218</v>
      </c>
      <c r="O262" s="3" t="s">
        <v>114</v>
      </c>
      <c r="P262" s="3" t="s">
        <v>235</v>
      </c>
      <c r="R262" s="3" t="s">
        <v>68</v>
      </c>
      <c r="S262" s="4">
        <v>2</v>
      </c>
      <c r="T262" s="4">
        <v>2</v>
      </c>
      <c r="U262" s="5" t="s">
        <v>3180</v>
      </c>
      <c r="V262" s="5" t="s">
        <v>3180</v>
      </c>
      <c r="W262" s="5" t="s">
        <v>2570</v>
      </c>
      <c r="X262" s="5" t="s">
        <v>2570</v>
      </c>
      <c r="Y262" s="4">
        <v>483</v>
      </c>
      <c r="Z262" s="4">
        <v>455</v>
      </c>
      <c r="AA262" s="4">
        <v>577</v>
      </c>
      <c r="AB262" s="4">
        <v>9</v>
      </c>
      <c r="AC262" s="4">
        <v>9</v>
      </c>
      <c r="AD262" s="4">
        <v>28</v>
      </c>
      <c r="AE262" s="4">
        <v>34</v>
      </c>
      <c r="AF262" s="4">
        <v>7</v>
      </c>
      <c r="AG262" s="4">
        <v>11</v>
      </c>
      <c r="AH262" s="4">
        <v>4</v>
      </c>
      <c r="AI262" s="4">
        <v>6</v>
      </c>
      <c r="AJ262" s="4">
        <v>13</v>
      </c>
      <c r="AK262" s="4">
        <v>16</v>
      </c>
      <c r="AL262" s="4">
        <v>7</v>
      </c>
      <c r="AM262" s="4">
        <v>7</v>
      </c>
      <c r="AN262" s="4">
        <v>0</v>
      </c>
      <c r="AO262" s="4">
        <v>0</v>
      </c>
      <c r="AP262" s="3" t="s">
        <v>61</v>
      </c>
      <c r="AQ262" s="3" t="s">
        <v>61</v>
      </c>
      <c r="AS262" s="6" t="str">
        <f>HYPERLINK("https://creighton-primo.hosted.exlibrisgroup.com/primo-explore/search?tab=default_tab&amp;search_scope=EVERYTHING&amp;vid=01CRU&amp;lang=en_US&amp;offset=0&amp;query=any,contains,991002664239702656","Catalog Record")</f>
        <v>Catalog Record</v>
      </c>
      <c r="AT262" s="6" t="str">
        <f>HYPERLINK("http://www.worldcat.org/oclc/392608","WorldCat Record")</f>
        <v>WorldCat Record</v>
      </c>
      <c r="AU262" s="3" t="s">
        <v>3268</v>
      </c>
      <c r="AV262" s="3" t="s">
        <v>3269</v>
      </c>
      <c r="AW262" s="3" t="s">
        <v>3270</v>
      </c>
      <c r="AX262" s="3" t="s">
        <v>3270</v>
      </c>
      <c r="AY262" s="3" t="s">
        <v>3271</v>
      </c>
      <c r="AZ262" s="3" t="s">
        <v>75</v>
      </c>
      <c r="BC262" s="3" t="s">
        <v>3272</v>
      </c>
      <c r="BD262" s="3" t="s">
        <v>3273</v>
      </c>
    </row>
    <row r="263" spans="1:56" ht="44.25" customHeight="1" x14ac:dyDescent="0.25">
      <c r="A263" s="7" t="s">
        <v>61</v>
      </c>
      <c r="B263" s="2" t="s">
        <v>3274</v>
      </c>
      <c r="C263" s="2" t="s">
        <v>3275</v>
      </c>
      <c r="D263" s="2" t="s">
        <v>3276</v>
      </c>
      <c r="E263" s="3" t="s">
        <v>141</v>
      </c>
      <c r="F263" s="3" t="s">
        <v>59</v>
      </c>
      <c r="G263" s="3" t="s">
        <v>60</v>
      </c>
      <c r="H263" s="3" t="s">
        <v>61</v>
      </c>
      <c r="I263" s="3" t="s">
        <v>61</v>
      </c>
      <c r="J263" s="3" t="s">
        <v>62</v>
      </c>
      <c r="K263" s="2" t="s">
        <v>3277</v>
      </c>
      <c r="L263" s="2" t="s">
        <v>3278</v>
      </c>
      <c r="M263" s="3" t="s">
        <v>3279</v>
      </c>
      <c r="N263" s="2" t="s">
        <v>306</v>
      </c>
      <c r="O263" s="3" t="s">
        <v>114</v>
      </c>
      <c r="P263" s="3" t="s">
        <v>235</v>
      </c>
      <c r="R263" s="3" t="s">
        <v>68</v>
      </c>
      <c r="S263" s="4">
        <v>0</v>
      </c>
      <c r="T263" s="4">
        <v>4</v>
      </c>
      <c r="V263" s="5" t="s">
        <v>3280</v>
      </c>
      <c r="W263" s="5" t="s">
        <v>3281</v>
      </c>
      <c r="X263" s="5" t="s">
        <v>162</v>
      </c>
      <c r="Y263" s="4">
        <v>209</v>
      </c>
      <c r="Z263" s="4">
        <v>178</v>
      </c>
      <c r="AA263" s="4">
        <v>178</v>
      </c>
      <c r="AB263" s="4">
        <v>2</v>
      </c>
      <c r="AC263" s="4">
        <v>2</v>
      </c>
      <c r="AD263" s="4">
        <v>9</v>
      </c>
      <c r="AE263" s="4">
        <v>9</v>
      </c>
      <c r="AF263" s="4">
        <v>2</v>
      </c>
      <c r="AG263" s="4">
        <v>2</v>
      </c>
      <c r="AH263" s="4">
        <v>1</v>
      </c>
      <c r="AI263" s="4">
        <v>1</v>
      </c>
      <c r="AJ263" s="4">
        <v>6</v>
      </c>
      <c r="AK263" s="4">
        <v>6</v>
      </c>
      <c r="AL263" s="4">
        <v>1</v>
      </c>
      <c r="AM263" s="4">
        <v>1</v>
      </c>
      <c r="AN263" s="4">
        <v>0</v>
      </c>
      <c r="AO263" s="4">
        <v>0</v>
      </c>
      <c r="AP263" s="3" t="s">
        <v>61</v>
      </c>
      <c r="AQ263" s="3" t="s">
        <v>61</v>
      </c>
      <c r="AS263" s="6" t="str">
        <f>HYPERLINK("https://creighton-primo.hosted.exlibrisgroup.com/primo-explore/search?tab=default_tab&amp;search_scope=EVERYTHING&amp;vid=01CRU&amp;lang=en_US&amp;offset=0&amp;query=any,contains,991002615969702656","Catalog Record")</f>
        <v>Catalog Record</v>
      </c>
      <c r="AT263" s="6" t="str">
        <f>HYPERLINK("http://www.worldcat.org/oclc/379477","WorldCat Record")</f>
        <v>WorldCat Record</v>
      </c>
      <c r="AU263" s="3" t="s">
        <v>3282</v>
      </c>
      <c r="AV263" s="3" t="s">
        <v>3283</v>
      </c>
      <c r="AW263" s="3" t="s">
        <v>3284</v>
      </c>
      <c r="AX263" s="3" t="s">
        <v>3284</v>
      </c>
      <c r="AY263" s="3" t="s">
        <v>3285</v>
      </c>
      <c r="AZ263" s="3" t="s">
        <v>75</v>
      </c>
      <c r="BB263" s="3" t="s">
        <v>3286</v>
      </c>
      <c r="BC263" s="3" t="s">
        <v>3287</v>
      </c>
      <c r="BD263" s="3" t="s">
        <v>3288</v>
      </c>
    </row>
    <row r="264" spans="1:56" ht="44.25" customHeight="1" x14ac:dyDescent="0.25">
      <c r="A264" s="7" t="s">
        <v>61</v>
      </c>
      <c r="B264" s="2" t="s">
        <v>3274</v>
      </c>
      <c r="C264" s="2" t="s">
        <v>3275</v>
      </c>
      <c r="D264" s="2" t="s">
        <v>3276</v>
      </c>
      <c r="E264" s="3" t="s">
        <v>90</v>
      </c>
      <c r="F264" s="3" t="s">
        <v>59</v>
      </c>
      <c r="G264" s="3" t="s">
        <v>60</v>
      </c>
      <c r="H264" s="3" t="s">
        <v>61</v>
      </c>
      <c r="I264" s="3" t="s">
        <v>61</v>
      </c>
      <c r="J264" s="3" t="s">
        <v>62</v>
      </c>
      <c r="K264" s="2" t="s">
        <v>3277</v>
      </c>
      <c r="L264" s="2" t="s">
        <v>3278</v>
      </c>
      <c r="M264" s="3" t="s">
        <v>3279</v>
      </c>
      <c r="N264" s="2" t="s">
        <v>306</v>
      </c>
      <c r="O264" s="3" t="s">
        <v>114</v>
      </c>
      <c r="P264" s="3" t="s">
        <v>235</v>
      </c>
      <c r="R264" s="3" t="s">
        <v>68</v>
      </c>
      <c r="S264" s="4">
        <v>0</v>
      </c>
      <c r="T264" s="4">
        <v>4</v>
      </c>
      <c r="V264" s="5" t="s">
        <v>3280</v>
      </c>
      <c r="W264" s="5" t="s">
        <v>162</v>
      </c>
      <c r="X264" s="5" t="s">
        <v>162</v>
      </c>
      <c r="Y264" s="4">
        <v>209</v>
      </c>
      <c r="Z264" s="4">
        <v>178</v>
      </c>
      <c r="AA264" s="4">
        <v>178</v>
      </c>
      <c r="AB264" s="4">
        <v>2</v>
      </c>
      <c r="AC264" s="4">
        <v>2</v>
      </c>
      <c r="AD264" s="4">
        <v>9</v>
      </c>
      <c r="AE264" s="4">
        <v>9</v>
      </c>
      <c r="AF264" s="4">
        <v>2</v>
      </c>
      <c r="AG264" s="4">
        <v>2</v>
      </c>
      <c r="AH264" s="4">
        <v>1</v>
      </c>
      <c r="AI264" s="4">
        <v>1</v>
      </c>
      <c r="AJ264" s="4">
        <v>6</v>
      </c>
      <c r="AK264" s="4">
        <v>6</v>
      </c>
      <c r="AL264" s="4">
        <v>1</v>
      </c>
      <c r="AM264" s="4">
        <v>1</v>
      </c>
      <c r="AN264" s="4">
        <v>0</v>
      </c>
      <c r="AO264" s="4">
        <v>0</v>
      </c>
      <c r="AP264" s="3" t="s">
        <v>61</v>
      </c>
      <c r="AQ264" s="3" t="s">
        <v>61</v>
      </c>
      <c r="AS264" s="6" t="str">
        <f>HYPERLINK("https://creighton-primo.hosted.exlibrisgroup.com/primo-explore/search?tab=default_tab&amp;search_scope=EVERYTHING&amp;vid=01CRU&amp;lang=en_US&amp;offset=0&amp;query=any,contains,991002615969702656","Catalog Record")</f>
        <v>Catalog Record</v>
      </c>
      <c r="AT264" s="6" t="str">
        <f>HYPERLINK("http://www.worldcat.org/oclc/379477","WorldCat Record")</f>
        <v>WorldCat Record</v>
      </c>
      <c r="AU264" s="3" t="s">
        <v>3282</v>
      </c>
      <c r="AV264" s="3" t="s">
        <v>3283</v>
      </c>
      <c r="AW264" s="3" t="s">
        <v>3284</v>
      </c>
      <c r="AX264" s="3" t="s">
        <v>3284</v>
      </c>
      <c r="AY264" s="3" t="s">
        <v>3285</v>
      </c>
      <c r="AZ264" s="3" t="s">
        <v>75</v>
      </c>
      <c r="BB264" s="3" t="s">
        <v>3286</v>
      </c>
      <c r="BC264" s="3" t="s">
        <v>3289</v>
      </c>
      <c r="BD264" s="3" t="s">
        <v>3290</v>
      </c>
    </row>
    <row r="265" spans="1:56" ht="44.25" customHeight="1" x14ac:dyDescent="0.25">
      <c r="A265" s="7" t="s">
        <v>61</v>
      </c>
      <c r="B265" s="2" t="s">
        <v>3274</v>
      </c>
      <c r="C265" s="2" t="s">
        <v>3275</v>
      </c>
      <c r="D265" s="2" t="s">
        <v>3276</v>
      </c>
      <c r="E265" s="3" t="s">
        <v>84</v>
      </c>
      <c r="F265" s="3" t="s">
        <v>59</v>
      </c>
      <c r="G265" s="3" t="s">
        <v>60</v>
      </c>
      <c r="H265" s="3" t="s">
        <v>61</v>
      </c>
      <c r="I265" s="3" t="s">
        <v>61</v>
      </c>
      <c r="J265" s="3" t="s">
        <v>62</v>
      </c>
      <c r="K265" s="2" t="s">
        <v>3277</v>
      </c>
      <c r="L265" s="2" t="s">
        <v>3278</v>
      </c>
      <c r="M265" s="3" t="s">
        <v>3279</v>
      </c>
      <c r="N265" s="2" t="s">
        <v>306</v>
      </c>
      <c r="O265" s="3" t="s">
        <v>114</v>
      </c>
      <c r="P265" s="3" t="s">
        <v>235</v>
      </c>
      <c r="R265" s="3" t="s">
        <v>68</v>
      </c>
      <c r="S265" s="4">
        <v>4</v>
      </c>
      <c r="T265" s="4">
        <v>4</v>
      </c>
      <c r="U265" s="5" t="s">
        <v>3280</v>
      </c>
      <c r="V265" s="5" t="s">
        <v>3280</v>
      </c>
      <c r="W265" s="5" t="s">
        <v>162</v>
      </c>
      <c r="X265" s="5" t="s">
        <v>162</v>
      </c>
      <c r="Y265" s="4">
        <v>209</v>
      </c>
      <c r="Z265" s="4">
        <v>178</v>
      </c>
      <c r="AA265" s="4">
        <v>178</v>
      </c>
      <c r="AB265" s="4">
        <v>2</v>
      </c>
      <c r="AC265" s="4">
        <v>2</v>
      </c>
      <c r="AD265" s="4">
        <v>9</v>
      </c>
      <c r="AE265" s="4">
        <v>9</v>
      </c>
      <c r="AF265" s="4">
        <v>2</v>
      </c>
      <c r="AG265" s="4">
        <v>2</v>
      </c>
      <c r="AH265" s="4">
        <v>1</v>
      </c>
      <c r="AI265" s="4">
        <v>1</v>
      </c>
      <c r="AJ265" s="4">
        <v>6</v>
      </c>
      <c r="AK265" s="4">
        <v>6</v>
      </c>
      <c r="AL265" s="4">
        <v>1</v>
      </c>
      <c r="AM265" s="4">
        <v>1</v>
      </c>
      <c r="AN265" s="4">
        <v>0</v>
      </c>
      <c r="AO265" s="4">
        <v>0</v>
      </c>
      <c r="AP265" s="3" t="s">
        <v>61</v>
      </c>
      <c r="AQ265" s="3" t="s">
        <v>61</v>
      </c>
      <c r="AS265" s="6" t="str">
        <f>HYPERLINK("https://creighton-primo.hosted.exlibrisgroup.com/primo-explore/search?tab=default_tab&amp;search_scope=EVERYTHING&amp;vid=01CRU&amp;lang=en_US&amp;offset=0&amp;query=any,contains,991002615969702656","Catalog Record")</f>
        <v>Catalog Record</v>
      </c>
      <c r="AT265" s="6" t="str">
        <f>HYPERLINK("http://www.worldcat.org/oclc/379477","WorldCat Record")</f>
        <v>WorldCat Record</v>
      </c>
      <c r="AU265" s="3" t="s">
        <v>3282</v>
      </c>
      <c r="AV265" s="3" t="s">
        <v>3283</v>
      </c>
      <c r="AW265" s="3" t="s">
        <v>3284</v>
      </c>
      <c r="AX265" s="3" t="s">
        <v>3284</v>
      </c>
      <c r="AY265" s="3" t="s">
        <v>3285</v>
      </c>
      <c r="AZ265" s="3" t="s">
        <v>75</v>
      </c>
      <c r="BB265" s="3" t="s">
        <v>3286</v>
      </c>
      <c r="BC265" s="3" t="s">
        <v>3291</v>
      </c>
      <c r="BD265" s="3" t="s">
        <v>3292</v>
      </c>
    </row>
    <row r="266" spans="1:56" ht="44.25" customHeight="1" x14ac:dyDescent="0.25">
      <c r="A266" s="7" t="s">
        <v>61</v>
      </c>
      <c r="B266" s="2" t="s">
        <v>3293</v>
      </c>
      <c r="C266" s="2" t="s">
        <v>3294</v>
      </c>
      <c r="D266" s="2" t="s">
        <v>3295</v>
      </c>
      <c r="F266" s="3" t="s">
        <v>61</v>
      </c>
      <c r="G266" s="3" t="s">
        <v>60</v>
      </c>
      <c r="H266" s="3" t="s">
        <v>61</v>
      </c>
      <c r="I266" s="3" t="s">
        <v>61</v>
      </c>
      <c r="J266" s="3" t="s">
        <v>62</v>
      </c>
      <c r="K266" s="2" t="s">
        <v>3296</v>
      </c>
      <c r="L266" s="2" t="s">
        <v>3297</v>
      </c>
      <c r="M266" s="3" t="s">
        <v>579</v>
      </c>
      <c r="N266" s="2" t="s">
        <v>3298</v>
      </c>
      <c r="O266" s="3" t="s">
        <v>114</v>
      </c>
      <c r="P266" s="3" t="s">
        <v>437</v>
      </c>
      <c r="R266" s="3" t="s">
        <v>68</v>
      </c>
      <c r="S266" s="4">
        <v>2</v>
      </c>
      <c r="T266" s="4">
        <v>2</v>
      </c>
      <c r="U266" s="5" t="s">
        <v>3299</v>
      </c>
      <c r="V266" s="5" t="s">
        <v>3299</v>
      </c>
      <c r="W266" s="5" t="s">
        <v>162</v>
      </c>
      <c r="X266" s="5" t="s">
        <v>162</v>
      </c>
      <c r="Y266" s="4">
        <v>241</v>
      </c>
      <c r="Z266" s="4">
        <v>218</v>
      </c>
      <c r="AA266" s="4">
        <v>309</v>
      </c>
      <c r="AB266" s="4">
        <v>3</v>
      </c>
      <c r="AC266" s="4">
        <v>5</v>
      </c>
      <c r="AD266" s="4">
        <v>13</v>
      </c>
      <c r="AE266" s="4">
        <v>15</v>
      </c>
      <c r="AF266" s="4">
        <v>3</v>
      </c>
      <c r="AG266" s="4">
        <v>3</v>
      </c>
      <c r="AH266" s="4">
        <v>4</v>
      </c>
      <c r="AI266" s="4">
        <v>4</v>
      </c>
      <c r="AJ266" s="4">
        <v>9</v>
      </c>
      <c r="AK266" s="4">
        <v>9</v>
      </c>
      <c r="AL266" s="4">
        <v>2</v>
      </c>
      <c r="AM266" s="4">
        <v>4</v>
      </c>
      <c r="AN266" s="4">
        <v>0</v>
      </c>
      <c r="AO266" s="4">
        <v>0</v>
      </c>
      <c r="AP266" s="3" t="s">
        <v>61</v>
      </c>
      <c r="AQ266" s="3" t="s">
        <v>61</v>
      </c>
      <c r="AS266" s="6" t="str">
        <f>HYPERLINK("https://creighton-primo.hosted.exlibrisgroup.com/primo-explore/search?tab=default_tab&amp;search_scope=EVERYTHING&amp;vid=01CRU&amp;lang=en_US&amp;offset=0&amp;query=any,contains,991000856759702656","Catalog Record")</f>
        <v>Catalog Record</v>
      </c>
      <c r="AT266" s="6" t="str">
        <f>HYPERLINK("http://www.worldcat.org/oclc/13664501","WorldCat Record")</f>
        <v>WorldCat Record</v>
      </c>
      <c r="AU266" s="3" t="s">
        <v>3300</v>
      </c>
      <c r="AV266" s="3" t="s">
        <v>3301</v>
      </c>
      <c r="AW266" s="3" t="s">
        <v>3302</v>
      </c>
      <c r="AX266" s="3" t="s">
        <v>3302</v>
      </c>
      <c r="AY266" s="3" t="s">
        <v>3303</v>
      </c>
      <c r="AZ266" s="3" t="s">
        <v>75</v>
      </c>
      <c r="BB266" s="3" t="s">
        <v>3304</v>
      </c>
      <c r="BC266" s="3" t="s">
        <v>3305</v>
      </c>
      <c r="BD266" s="3" t="s">
        <v>3306</v>
      </c>
    </row>
    <row r="267" spans="1:56" ht="44.25" customHeight="1" x14ac:dyDescent="0.25">
      <c r="A267" s="7" t="s">
        <v>61</v>
      </c>
      <c r="B267" s="2" t="s">
        <v>3307</v>
      </c>
      <c r="C267" s="2" t="s">
        <v>3308</v>
      </c>
      <c r="D267" s="2" t="s">
        <v>3309</v>
      </c>
      <c r="F267" s="3" t="s">
        <v>61</v>
      </c>
      <c r="G267" s="3" t="s">
        <v>60</v>
      </c>
      <c r="H267" s="3" t="s">
        <v>61</v>
      </c>
      <c r="I267" s="3" t="s">
        <v>61</v>
      </c>
      <c r="J267" s="3" t="s">
        <v>62</v>
      </c>
      <c r="K267" s="2" t="s">
        <v>3310</v>
      </c>
      <c r="L267" s="2" t="s">
        <v>3311</v>
      </c>
      <c r="M267" s="3" t="s">
        <v>1976</v>
      </c>
      <c r="N267" s="2" t="s">
        <v>634</v>
      </c>
      <c r="O267" s="3" t="s">
        <v>114</v>
      </c>
      <c r="P267" s="3" t="s">
        <v>235</v>
      </c>
      <c r="R267" s="3" t="s">
        <v>68</v>
      </c>
      <c r="S267" s="4">
        <v>3</v>
      </c>
      <c r="T267" s="4">
        <v>3</v>
      </c>
      <c r="U267" s="5" t="s">
        <v>3312</v>
      </c>
      <c r="V267" s="5" t="s">
        <v>3312</v>
      </c>
      <c r="W267" s="5" t="s">
        <v>3313</v>
      </c>
      <c r="X267" s="5" t="s">
        <v>3313</v>
      </c>
      <c r="Y267" s="4">
        <v>647</v>
      </c>
      <c r="Z267" s="4">
        <v>512</v>
      </c>
      <c r="AA267" s="4">
        <v>565</v>
      </c>
      <c r="AB267" s="4">
        <v>4</v>
      </c>
      <c r="AC267" s="4">
        <v>4</v>
      </c>
      <c r="AD267" s="4">
        <v>25</v>
      </c>
      <c r="AE267" s="4">
        <v>25</v>
      </c>
      <c r="AF267" s="4">
        <v>9</v>
      </c>
      <c r="AG267" s="4">
        <v>9</v>
      </c>
      <c r="AH267" s="4">
        <v>8</v>
      </c>
      <c r="AI267" s="4">
        <v>8</v>
      </c>
      <c r="AJ267" s="4">
        <v>13</v>
      </c>
      <c r="AK267" s="4">
        <v>13</v>
      </c>
      <c r="AL267" s="4">
        <v>2</v>
      </c>
      <c r="AM267" s="4">
        <v>2</v>
      </c>
      <c r="AN267" s="4">
        <v>0</v>
      </c>
      <c r="AO267" s="4">
        <v>0</v>
      </c>
      <c r="AP267" s="3" t="s">
        <v>61</v>
      </c>
      <c r="AQ267" s="3" t="s">
        <v>61</v>
      </c>
      <c r="AS267" s="6" t="str">
        <f>HYPERLINK("https://creighton-primo.hosted.exlibrisgroup.com/primo-explore/search?tab=default_tab&amp;search_scope=EVERYTHING&amp;vid=01CRU&amp;lang=en_US&amp;offset=0&amp;query=any,contains,991004542989702656","Catalog Record")</f>
        <v>Catalog Record</v>
      </c>
      <c r="AT267" s="6" t="str">
        <f>HYPERLINK("http://www.worldcat.org/oclc/50270463","WorldCat Record")</f>
        <v>WorldCat Record</v>
      </c>
      <c r="AU267" s="3" t="s">
        <v>3314</v>
      </c>
      <c r="AV267" s="3" t="s">
        <v>3315</v>
      </c>
      <c r="AW267" s="3" t="s">
        <v>3316</v>
      </c>
      <c r="AX267" s="3" t="s">
        <v>3316</v>
      </c>
      <c r="AY267" s="3" t="s">
        <v>3317</v>
      </c>
      <c r="AZ267" s="3" t="s">
        <v>75</v>
      </c>
      <c r="BB267" s="3" t="s">
        <v>3318</v>
      </c>
      <c r="BC267" s="3" t="s">
        <v>3319</v>
      </c>
      <c r="BD267" s="3" t="s">
        <v>3320</v>
      </c>
    </row>
    <row r="268" spans="1:56" ht="44.25" customHeight="1" x14ac:dyDescent="0.25">
      <c r="A268" s="7" t="s">
        <v>61</v>
      </c>
      <c r="B268" s="2" t="s">
        <v>3321</v>
      </c>
      <c r="C268" s="2" t="s">
        <v>3322</v>
      </c>
      <c r="D268" s="2" t="s">
        <v>3323</v>
      </c>
      <c r="F268" s="3" t="s">
        <v>61</v>
      </c>
      <c r="G268" s="3" t="s">
        <v>60</v>
      </c>
      <c r="H268" s="3" t="s">
        <v>61</v>
      </c>
      <c r="I268" s="3" t="s">
        <v>61</v>
      </c>
      <c r="J268" s="3" t="s">
        <v>62</v>
      </c>
      <c r="L268" s="2" t="s">
        <v>3324</v>
      </c>
      <c r="M268" s="3" t="s">
        <v>205</v>
      </c>
      <c r="O268" s="3" t="s">
        <v>114</v>
      </c>
      <c r="P268" s="3" t="s">
        <v>235</v>
      </c>
      <c r="R268" s="3" t="s">
        <v>68</v>
      </c>
      <c r="S268" s="4">
        <v>1</v>
      </c>
      <c r="T268" s="4">
        <v>1</v>
      </c>
      <c r="U268" s="5" t="s">
        <v>3325</v>
      </c>
      <c r="V268" s="5" t="s">
        <v>3325</v>
      </c>
      <c r="W268" s="5" t="s">
        <v>3326</v>
      </c>
      <c r="X268" s="5" t="s">
        <v>3326</v>
      </c>
      <c r="Y268" s="4">
        <v>1030</v>
      </c>
      <c r="Z268" s="4">
        <v>958</v>
      </c>
      <c r="AA268" s="4">
        <v>963</v>
      </c>
      <c r="AB268" s="4">
        <v>9</v>
      </c>
      <c r="AC268" s="4">
        <v>9</v>
      </c>
      <c r="AD268" s="4">
        <v>4</v>
      </c>
      <c r="AE268" s="4">
        <v>4</v>
      </c>
      <c r="AF268" s="4">
        <v>1</v>
      </c>
      <c r="AG268" s="4">
        <v>1</v>
      </c>
      <c r="AH268" s="4">
        <v>1</v>
      </c>
      <c r="AI268" s="4">
        <v>1</v>
      </c>
      <c r="AJ268" s="4">
        <v>1</v>
      </c>
      <c r="AK268" s="4">
        <v>1</v>
      </c>
      <c r="AL268" s="4">
        <v>1</v>
      </c>
      <c r="AM268" s="4">
        <v>1</v>
      </c>
      <c r="AN268" s="4">
        <v>0</v>
      </c>
      <c r="AO268" s="4">
        <v>0</v>
      </c>
      <c r="AP268" s="3" t="s">
        <v>61</v>
      </c>
      <c r="AQ268" s="3" t="s">
        <v>61</v>
      </c>
      <c r="AS268" s="6" t="str">
        <f>HYPERLINK("https://creighton-primo.hosted.exlibrisgroup.com/primo-explore/search?tab=default_tab&amp;search_scope=EVERYTHING&amp;vid=01CRU&amp;lang=en_US&amp;offset=0&amp;query=any,contains,991000215919702656","Catalog Record")</f>
        <v>Catalog Record</v>
      </c>
      <c r="AT268" s="6" t="str">
        <f>HYPERLINK("http://www.worldcat.org/oclc/9557645","WorldCat Record")</f>
        <v>WorldCat Record</v>
      </c>
      <c r="AU268" s="3" t="s">
        <v>3327</v>
      </c>
      <c r="AV268" s="3" t="s">
        <v>3328</v>
      </c>
      <c r="AW268" s="3" t="s">
        <v>3329</v>
      </c>
      <c r="AX268" s="3" t="s">
        <v>3329</v>
      </c>
      <c r="AY268" s="3" t="s">
        <v>3330</v>
      </c>
      <c r="AZ268" s="3" t="s">
        <v>75</v>
      </c>
      <c r="BB268" s="3" t="s">
        <v>3331</v>
      </c>
      <c r="BC268" s="3" t="s">
        <v>3332</v>
      </c>
      <c r="BD268" s="3" t="s">
        <v>3333</v>
      </c>
    </row>
    <row r="269" spans="1:56" ht="44.25" customHeight="1" x14ac:dyDescent="0.25">
      <c r="A269" s="7" t="s">
        <v>61</v>
      </c>
      <c r="B269" s="2" t="s">
        <v>3334</v>
      </c>
      <c r="C269" s="2" t="s">
        <v>3335</v>
      </c>
      <c r="D269" s="2" t="s">
        <v>3336</v>
      </c>
      <c r="F269" s="3" t="s">
        <v>61</v>
      </c>
      <c r="G269" s="3" t="s">
        <v>60</v>
      </c>
      <c r="H269" s="3" t="s">
        <v>61</v>
      </c>
      <c r="I269" s="3" t="s">
        <v>61</v>
      </c>
      <c r="J269" s="3" t="s">
        <v>62</v>
      </c>
      <c r="K269" s="2" t="s">
        <v>3337</v>
      </c>
      <c r="L269" s="2" t="s">
        <v>3338</v>
      </c>
      <c r="M269" s="3" t="s">
        <v>796</v>
      </c>
      <c r="O269" s="3" t="s">
        <v>114</v>
      </c>
      <c r="P269" s="3" t="s">
        <v>192</v>
      </c>
      <c r="R269" s="3" t="s">
        <v>68</v>
      </c>
      <c r="S269" s="4">
        <v>1</v>
      </c>
      <c r="T269" s="4">
        <v>1</v>
      </c>
      <c r="U269" s="5" t="s">
        <v>3339</v>
      </c>
      <c r="V269" s="5" t="s">
        <v>3339</v>
      </c>
      <c r="W269" s="5" t="s">
        <v>3340</v>
      </c>
      <c r="X269" s="5" t="s">
        <v>3340</v>
      </c>
      <c r="Y269" s="4">
        <v>652</v>
      </c>
      <c r="Z269" s="4">
        <v>509</v>
      </c>
      <c r="AA269" s="4">
        <v>520</v>
      </c>
      <c r="AB269" s="4">
        <v>5</v>
      </c>
      <c r="AC269" s="4">
        <v>5</v>
      </c>
      <c r="AD269" s="4">
        <v>29</v>
      </c>
      <c r="AE269" s="4">
        <v>29</v>
      </c>
      <c r="AF269" s="4">
        <v>9</v>
      </c>
      <c r="AG269" s="4">
        <v>9</v>
      </c>
      <c r="AH269" s="4">
        <v>5</v>
      </c>
      <c r="AI269" s="4">
        <v>5</v>
      </c>
      <c r="AJ269" s="4">
        <v>17</v>
      </c>
      <c r="AK269" s="4">
        <v>17</v>
      </c>
      <c r="AL269" s="4">
        <v>4</v>
      </c>
      <c r="AM269" s="4">
        <v>4</v>
      </c>
      <c r="AN269" s="4">
        <v>0</v>
      </c>
      <c r="AO269" s="4">
        <v>0</v>
      </c>
      <c r="AP269" s="3" t="s">
        <v>61</v>
      </c>
      <c r="AQ269" s="3" t="s">
        <v>59</v>
      </c>
      <c r="AR269" s="6" t="str">
        <f>HYPERLINK("http://catalog.hathitrust.org/Record/000949000","HathiTrust Record")</f>
        <v>HathiTrust Record</v>
      </c>
      <c r="AS269" s="6" t="str">
        <f>HYPERLINK("https://creighton-primo.hosted.exlibrisgroup.com/primo-explore/search?tab=default_tab&amp;search_scope=EVERYTHING&amp;vid=01CRU&amp;lang=en_US&amp;offset=0&amp;query=any,contains,991001424749702656","Catalog Record")</f>
        <v>Catalog Record</v>
      </c>
      <c r="AT269" s="6" t="str">
        <f>HYPERLINK("http://www.worldcat.org/oclc/18989182","WorldCat Record")</f>
        <v>WorldCat Record</v>
      </c>
      <c r="AU269" s="3" t="s">
        <v>3341</v>
      </c>
      <c r="AV269" s="3" t="s">
        <v>3342</v>
      </c>
      <c r="AW269" s="3" t="s">
        <v>3343</v>
      </c>
      <c r="AX269" s="3" t="s">
        <v>3343</v>
      </c>
      <c r="AY269" s="3" t="s">
        <v>3344</v>
      </c>
      <c r="AZ269" s="3" t="s">
        <v>75</v>
      </c>
      <c r="BB269" s="3" t="s">
        <v>3345</v>
      </c>
      <c r="BC269" s="3" t="s">
        <v>3346</v>
      </c>
      <c r="BD269" s="3" t="s">
        <v>3347</v>
      </c>
    </row>
    <row r="270" spans="1:56" ht="44.25" customHeight="1" x14ac:dyDescent="0.25">
      <c r="A270" s="7" t="s">
        <v>61</v>
      </c>
      <c r="B270" s="2" t="s">
        <v>3348</v>
      </c>
      <c r="C270" s="2" t="s">
        <v>3349</v>
      </c>
      <c r="D270" s="2" t="s">
        <v>3350</v>
      </c>
      <c r="F270" s="3" t="s">
        <v>61</v>
      </c>
      <c r="G270" s="3" t="s">
        <v>60</v>
      </c>
      <c r="H270" s="3" t="s">
        <v>61</v>
      </c>
      <c r="I270" s="3" t="s">
        <v>61</v>
      </c>
      <c r="J270" s="3" t="s">
        <v>62</v>
      </c>
      <c r="L270" s="2" t="s">
        <v>3351</v>
      </c>
      <c r="M270" s="3" t="s">
        <v>784</v>
      </c>
      <c r="O270" s="3" t="s">
        <v>114</v>
      </c>
      <c r="P270" s="3" t="s">
        <v>206</v>
      </c>
      <c r="R270" s="3" t="s">
        <v>68</v>
      </c>
      <c r="S270" s="4">
        <v>3</v>
      </c>
      <c r="T270" s="4">
        <v>3</v>
      </c>
      <c r="U270" s="5" t="s">
        <v>3352</v>
      </c>
      <c r="V270" s="5" t="s">
        <v>3352</v>
      </c>
      <c r="W270" s="5" t="s">
        <v>3353</v>
      </c>
      <c r="X270" s="5" t="s">
        <v>3353</v>
      </c>
      <c r="Y270" s="4">
        <v>345</v>
      </c>
      <c r="Z270" s="4">
        <v>303</v>
      </c>
      <c r="AA270" s="4">
        <v>310</v>
      </c>
      <c r="AB270" s="4">
        <v>3</v>
      </c>
      <c r="AC270" s="4">
        <v>3</v>
      </c>
      <c r="AD270" s="4">
        <v>17</v>
      </c>
      <c r="AE270" s="4">
        <v>17</v>
      </c>
      <c r="AF270" s="4">
        <v>3</v>
      </c>
      <c r="AG270" s="4">
        <v>3</v>
      </c>
      <c r="AH270" s="4">
        <v>5</v>
      </c>
      <c r="AI270" s="4">
        <v>5</v>
      </c>
      <c r="AJ270" s="4">
        <v>11</v>
      </c>
      <c r="AK270" s="4">
        <v>11</v>
      </c>
      <c r="AL270" s="4">
        <v>2</v>
      </c>
      <c r="AM270" s="4">
        <v>2</v>
      </c>
      <c r="AN270" s="4">
        <v>0</v>
      </c>
      <c r="AO270" s="4">
        <v>0</v>
      </c>
      <c r="AP270" s="3" t="s">
        <v>61</v>
      </c>
      <c r="AQ270" s="3" t="s">
        <v>59</v>
      </c>
      <c r="AR270" s="6" t="str">
        <f>HYPERLINK("http://catalog.hathitrust.org/Record/000634993","HathiTrust Record")</f>
        <v>HathiTrust Record</v>
      </c>
      <c r="AS270" s="6" t="str">
        <f>HYPERLINK("https://creighton-primo.hosted.exlibrisgroup.com/primo-explore/search?tab=default_tab&amp;search_scope=EVERYTHING&amp;vid=01CRU&amp;lang=en_US&amp;offset=0&amp;query=any,contains,991002419979702656","Catalog Record")</f>
        <v>Catalog Record</v>
      </c>
      <c r="AT270" s="6" t="str">
        <f>HYPERLINK("http://www.worldcat.org/oclc/342455","WorldCat Record")</f>
        <v>WorldCat Record</v>
      </c>
      <c r="AU270" s="3" t="s">
        <v>3354</v>
      </c>
      <c r="AV270" s="3" t="s">
        <v>3355</v>
      </c>
      <c r="AW270" s="3" t="s">
        <v>3356</v>
      </c>
      <c r="AX270" s="3" t="s">
        <v>3356</v>
      </c>
      <c r="AY270" s="3" t="s">
        <v>3357</v>
      </c>
      <c r="AZ270" s="3" t="s">
        <v>75</v>
      </c>
      <c r="BC270" s="3" t="s">
        <v>3358</v>
      </c>
      <c r="BD270" s="3" t="s">
        <v>3359</v>
      </c>
    </row>
    <row r="271" spans="1:56" ht="44.25" customHeight="1" x14ac:dyDescent="0.25">
      <c r="A271" s="7" t="s">
        <v>61</v>
      </c>
      <c r="B271" s="2" t="s">
        <v>3360</v>
      </c>
      <c r="C271" s="2" t="s">
        <v>3361</v>
      </c>
      <c r="D271" s="2" t="s">
        <v>3362</v>
      </c>
      <c r="F271" s="3" t="s">
        <v>61</v>
      </c>
      <c r="G271" s="3" t="s">
        <v>60</v>
      </c>
      <c r="H271" s="3" t="s">
        <v>61</v>
      </c>
      <c r="I271" s="3" t="s">
        <v>61</v>
      </c>
      <c r="J271" s="3" t="s">
        <v>62</v>
      </c>
      <c r="K271" s="2" t="s">
        <v>3363</v>
      </c>
      <c r="L271" s="2" t="s">
        <v>3364</v>
      </c>
      <c r="M271" s="3" t="s">
        <v>3365</v>
      </c>
      <c r="O271" s="3" t="s">
        <v>114</v>
      </c>
      <c r="P271" s="3" t="s">
        <v>67</v>
      </c>
      <c r="R271" s="3" t="s">
        <v>68</v>
      </c>
      <c r="S271" s="4">
        <v>2</v>
      </c>
      <c r="T271" s="4">
        <v>2</v>
      </c>
      <c r="U271" s="5" t="s">
        <v>3366</v>
      </c>
      <c r="V271" s="5" t="s">
        <v>3366</v>
      </c>
      <c r="W271" s="5" t="s">
        <v>3353</v>
      </c>
      <c r="X271" s="5" t="s">
        <v>3353</v>
      </c>
      <c r="Y271" s="4">
        <v>138</v>
      </c>
      <c r="Z271" s="4">
        <v>137</v>
      </c>
      <c r="AA271" s="4">
        <v>561</v>
      </c>
      <c r="AB271" s="4">
        <v>3</v>
      </c>
      <c r="AC271" s="4">
        <v>6</v>
      </c>
      <c r="AD271" s="4">
        <v>7</v>
      </c>
      <c r="AE271" s="4">
        <v>25</v>
      </c>
      <c r="AF271" s="4">
        <v>2</v>
      </c>
      <c r="AG271" s="4">
        <v>8</v>
      </c>
      <c r="AH271" s="4">
        <v>1</v>
      </c>
      <c r="AI271" s="4">
        <v>6</v>
      </c>
      <c r="AJ271" s="4">
        <v>3</v>
      </c>
      <c r="AK271" s="4">
        <v>12</v>
      </c>
      <c r="AL271" s="4">
        <v>2</v>
      </c>
      <c r="AM271" s="4">
        <v>5</v>
      </c>
      <c r="AN271" s="4">
        <v>0</v>
      </c>
      <c r="AO271" s="4">
        <v>1</v>
      </c>
      <c r="AP271" s="3" t="s">
        <v>61</v>
      </c>
      <c r="AQ271" s="3" t="s">
        <v>59</v>
      </c>
      <c r="AR271" s="6" t="str">
        <f>HYPERLINK("http://catalog.hathitrust.org/Record/008232581","HathiTrust Record")</f>
        <v>HathiTrust Record</v>
      </c>
      <c r="AS271" s="6" t="str">
        <f>HYPERLINK("https://creighton-primo.hosted.exlibrisgroup.com/primo-explore/search?tab=default_tab&amp;search_scope=EVERYTHING&amp;vid=01CRU&amp;lang=en_US&amp;offset=0&amp;query=any,contains,991004571399702656","Catalog Record")</f>
        <v>Catalog Record</v>
      </c>
      <c r="AT271" s="6" t="str">
        <f>HYPERLINK("http://www.worldcat.org/oclc/4032218","WorldCat Record")</f>
        <v>WorldCat Record</v>
      </c>
      <c r="AU271" s="3" t="s">
        <v>3367</v>
      </c>
      <c r="AV271" s="3" t="s">
        <v>3368</v>
      </c>
      <c r="AW271" s="3" t="s">
        <v>3369</v>
      </c>
      <c r="AX271" s="3" t="s">
        <v>3369</v>
      </c>
      <c r="AY271" s="3" t="s">
        <v>3370</v>
      </c>
      <c r="AZ271" s="3" t="s">
        <v>75</v>
      </c>
      <c r="BC271" s="3" t="s">
        <v>3371</v>
      </c>
      <c r="BD271" s="3" t="s">
        <v>3372</v>
      </c>
    </row>
    <row r="272" spans="1:56" ht="44.25" customHeight="1" x14ac:dyDescent="0.25">
      <c r="A272" s="7" t="s">
        <v>61</v>
      </c>
      <c r="B272" s="2" t="s">
        <v>3373</v>
      </c>
      <c r="C272" s="2" t="s">
        <v>3374</v>
      </c>
      <c r="D272" s="2" t="s">
        <v>3375</v>
      </c>
      <c r="F272" s="3" t="s">
        <v>61</v>
      </c>
      <c r="G272" s="3" t="s">
        <v>60</v>
      </c>
      <c r="H272" s="3" t="s">
        <v>61</v>
      </c>
      <c r="I272" s="3" t="s">
        <v>61</v>
      </c>
      <c r="J272" s="3" t="s">
        <v>62</v>
      </c>
      <c r="K272" s="2" t="s">
        <v>3376</v>
      </c>
      <c r="L272" s="2" t="s">
        <v>604</v>
      </c>
      <c r="M272" s="3" t="s">
        <v>605</v>
      </c>
      <c r="O272" s="3" t="s">
        <v>114</v>
      </c>
      <c r="P272" s="3" t="s">
        <v>235</v>
      </c>
      <c r="R272" s="3" t="s">
        <v>68</v>
      </c>
      <c r="S272" s="4">
        <v>2</v>
      </c>
      <c r="T272" s="4">
        <v>2</v>
      </c>
      <c r="U272" s="5" t="s">
        <v>3377</v>
      </c>
      <c r="V272" s="5" t="s">
        <v>3377</v>
      </c>
      <c r="W272" s="5" t="s">
        <v>2740</v>
      </c>
      <c r="X272" s="5" t="s">
        <v>2740</v>
      </c>
      <c r="Y272" s="4">
        <v>194</v>
      </c>
      <c r="Z272" s="4">
        <v>166</v>
      </c>
      <c r="AA272" s="4">
        <v>194</v>
      </c>
      <c r="AB272" s="4">
        <v>2</v>
      </c>
      <c r="AC272" s="4">
        <v>2</v>
      </c>
      <c r="AD272" s="4">
        <v>7</v>
      </c>
      <c r="AE272" s="4">
        <v>7</v>
      </c>
      <c r="AF272" s="4">
        <v>2</v>
      </c>
      <c r="AG272" s="4">
        <v>2</v>
      </c>
      <c r="AH272" s="4">
        <v>2</v>
      </c>
      <c r="AI272" s="4">
        <v>2</v>
      </c>
      <c r="AJ272" s="4">
        <v>5</v>
      </c>
      <c r="AK272" s="4">
        <v>5</v>
      </c>
      <c r="AL272" s="4">
        <v>1</v>
      </c>
      <c r="AM272" s="4">
        <v>1</v>
      </c>
      <c r="AN272" s="4">
        <v>0</v>
      </c>
      <c r="AO272" s="4">
        <v>0</v>
      </c>
      <c r="AP272" s="3" t="s">
        <v>61</v>
      </c>
      <c r="AQ272" s="3" t="s">
        <v>61</v>
      </c>
      <c r="AS272" s="6" t="str">
        <f>HYPERLINK("https://creighton-primo.hosted.exlibrisgroup.com/primo-explore/search?tab=default_tab&amp;search_scope=EVERYTHING&amp;vid=01CRU&amp;lang=en_US&amp;offset=0&amp;query=any,contains,991001858059702656","Catalog Record")</f>
        <v>Catalog Record</v>
      </c>
      <c r="AT272" s="6" t="str">
        <f>HYPERLINK("http://www.worldcat.org/oclc/23355434","WorldCat Record")</f>
        <v>WorldCat Record</v>
      </c>
      <c r="AU272" s="3" t="s">
        <v>3378</v>
      </c>
      <c r="AV272" s="3" t="s">
        <v>3379</v>
      </c>
      <c r="AW272" s="3" t="s">
        <v>3380</v>
      </c>
      <c r="AX272" s="3" t="s">
        <v>3380</v>
      </c>
      <c r="AY272" s="3" t="s">
        <v>3381</v>
      </c>
      <c r="AZ272" s="3" t="s">
        <v>75</v>
      </c>
      <c r="BB272" s="3" t="s">
        <v>3382</v>
      </c>
      <c r="BC272" s="3" t="s">
        <v>3383</v>
      </c>
      <c r="BD272" s="3" t="s">
        <v>3384</v>
      </c>
    </row>
    <row r="273" spans="1:56" ht="44.25" customHeight="1" x14ac:dyDescent="0.25">
      <c r="A273" s="7" t="s">
        <v>61</v>
      </c>
      <c r="B273" s="2" t="s">
        <v>3385</v>
      </c>
      <c r="C273" s="2" t="s">
        <v>3386</v>
      </c>
      <c r="D273" s="2" t="s">
        <v>3387</v>
      </c>
      <c r="F273" s="3" t="s">
        <v>61</v>
      </c>
      <c r="G273" s="3" t="s">
        <v>60</v>
      </c>
      <c r="H273" s="3" t="s">
        <v>61</v>
      </c>
      <c r="I273" s="3" t="s">
        <v>61</v>
      </c>
      <c r="J273" s="3" t="s">
        <v>62</v>
      </c>
      <c r="L273" s="2" t="s">
        <v>3388</v>
      </c>
      <c r="M273" s="3" t="s">
        <v>249</v>
      </c>
      <c r="O273" s="3" t="s">
        <v>114</v>
      </c>
      <c r="P273" s="3" t="s">
        <v>192</v>
      </c>
      <c r="R273" s="3" t="s">
        <v>68</v>
      </c>
      <c r="S273" s="4">
        <v>2</v>
      </c>
      <c r="T273" s="4">
        <v>2</v>
      </c>
      <c r="U273" s="5" t="s">
        <v>1817</v>
      </c>
      <c r="V273" s="5" t="s">
        <v>1817</v>
      </c>
      <c r="W273" s="5" t="s">
        <v>3389</v>
      </c>
      <c r="X273" s="5" t="s">
        <v>3389</v>
      </c>
      <c r="Y273" s="4">
        <v>523</v>
      </c>
      <c r="Z273" s="4">
        <v>321</v>
      </c>
      <c r="AA273" s="4">
        <v>331</v>
      </c>
      <c r="AB273" s="4">
        <v>3</v>
      </c>
      <c r="AC273" s="4">
        <v>3</v>
      </c>
      <c r="AD273" s="4">
        <v>26</v>
      </c>
      <c r="AE273" s="4">
        <v>26</v>
      </c>
      <c r="AF273" s="4">
        <v>9</v>
      </c>
      <c r="AG273" s="4">
        <v>9</v>
      </c>
      <c r="AH273" s="4">
        <v>9</v>
      </c>
      <c r="AI273" s="4">
        <v>9</v>
      </c>
      <c r="AJ273" s="4">
        <v>14</v>
      </c>
      <c r="AK273" s="4">
        <v>14</v>
      </c>
      <c r="AL273" s="4">
        <v>2</v>
      </c>
      <c r="AM273" s="4">
        <v>2</v>
      </c>
      <c r="AN273" s="4">
        <v>0</v>
      </c>
      <c r="AO273" s="4">
        <v>0</v>
      </c>
      <c r="AP273" s="3" t="s">
        <v>61</v>
      </c>
      <c r="AQ273" s="3" t="s">
        <v>61</v>
      </c>
      <c r="AS273" s="6" t="str">
        <f>HYPERLINK("https://creighton-primo.hosted.exlibrisgroup.com/primo-explore/search?tab=default_tab&amp;search_scope=EVERYTHING&amp;vid=01CRU&amp;lang=en_US&amp;offset=0&amp;query=any,contains,991002001479702656","Catalog Record")</f>
        <v>Catalog Record</v>
      </c>
      <c r="AT273" s="6" t="str">
        <f>HYPERLINK("http://www.worldcat.org/oclc/25412553","WorldCat Record")</f>
        <v>WorldCat Record</v>
      </c>
      <c r="AU273" s="3" t="s">
        <v>3390</v>
      </c>
      <c r="AV273" s="3" t="s">
        <v>3391</v>
      </c>
      <c r="AW273" s="3" t="s">
        <v>3392</v>
      </c>
      <c r="AX273" s="3" t="s">
        <v>3392</v>
      </c>
      <c r="AY273" s="3" t="s">
        <v>3393</v>
      </c>
      <c r="AZ273" s="3" t="s">
        <v>75</v>
      </c>
      <c r="BB273" s="3" t="s">
        <v>3394</v>
      </c>
      <c r="BC273" s="3" t="s">
        <v>3395</v>
      </c>
      <c r="BD273" s="3" t="s">
        <v>3396</v>
      </c>
    </row>
    <row r="274" spans="1:56" ht="44.25" customHeight="1" x14ac:dyDescent="0.25">
      <c r="A274" s="7" t="s">
        <v>61</v>
      </c>
      <c r="B274" s="2" t="s">
        <v>3397</v>
      </c>
      <c r="C274" s="2" t="s">
        <v>3398</v>
      </c>
      <c r="D274" s="2" t="s">
        <v>3399</v>
      </c>
      <c r="F274" s="3" t="s">
        <v>61</v>
      </c>
      <c r="G274" s="3" t="s">
        <v>60</v>
      </c>
      <c r="H274" s="3" t="s">
        <v>61</v>
      </c>
      <c r="I274" s="3" t="s">
        <v>61</v>
      </c>
      <c r="J274" s="3" t="s">
        <v>62</v>
      </c>
      <c r="K274" s="2" t="s">
        <v>3400</v>
      </c>
      <c r="L274" s="2" t="s">
        <v>3401</v>
      </c>
      <c r="M274" s="3" t="s">
        <v>1319</v>
      </c>
      <c r="O274" s="3" t="s">
        <v>114</v>
      </c>
      <c r="P274" s="3" t="s">
        <v>115</v>
      </c>
      <c r="Q274" s="2" t="s">
        <v>3402</v>
      </c>
      <c r="R274" s="3" t="s">
        <v>68</v>
      </c>
      <c r="S274" s="4">
        <v>7</v>
      </c>
      <c r="T274" s="4">
        <v>7</v>
      </c>
      <c r="U274" s="5" t="s">
        <v>3403</v>
      </c>
      <c r="V274" s="5" t="s">
        <v>3403</v>
      </c>
      <c r="W274" s="5" t="s">
        <v>3353</v>
      </c>
      <c r="X274" s="5" t="s">
        <v>3353</v>
      </c>
      <c r="Y274" s="4">
        <v>762</v>
      </c>
      <c r="Z274" s="4">
        <v>636</v>
      </c>
      <c r="AA274" s="4">
        <v>643</v>
      </c>
      <c r="AB274" s="4">
        <v>3</v>
      </c>
      <c r="AC274" s="4">
        <v>3</v>
      </c>
      <c r="AD274" s="4">
        <v>26</v>
      </c>
      <c r="AE274" s="4">
        <v>26</v>
      </c>
      <c r="AF274" s="4">
        <v>11</v>
      </c>
      <c r="AG274" s="4">
        <v>11</v>
      </c>
      <c r="AH274" s="4">
        <v>4</v>
      </c>
      <c r="AI274" s="4">
        <v>4</v>
      </c>
      <c r="AJ274" s="4">
        <v>17</v>
      </c>
      <c r="AK274" s="4">
        <v>17</v>
      </c>
      <c r="AL274" s="4">
        <v>2</v>
      </c>
      <c r="AM274" s="4">
        <v>2</v>
      </c>
      <c r="AN274" s="4">
        <v>0</v>
      </c>
      <c r="AO274" s="4">
        <v>0</v>
      </c>
      <c r="AP274" s="3" t="s">
        <v>61</v>
      </c>
      <c r="AQ274" s="3" t="s">
        <v>59</v>
      </c>
      <c r="AR274" s="6" t="str">
        <f>HYPERLINK("http://catalog.hathitrust.org/Record/000674332","HathiTrust Record")</f>
        <v>HathiTrust Record</v>
      </c>
      <c r="AS274" s="6" t="str">
        <f>HYPERLINK("https://creighton-primo.hosted.exlibrisgroup.com/primo-explore/search?tab=default_tab&amp;search_scope=EVERYTHING&amp;vid=01CRU&amp;lang=en_US&amp;offset=0&amp;query=any,contains,991001963069702656","Catalog Record")</f>
        <v>Catalog Record</v>
      </c>
      <c r="AT274" s="6" t="str">
        <f>HYPERLINK("http://www.worldcat.org/oclc/253652","WorldCat Record")</f>
        <v>WorldCat Record</v>
      </c>
      <c r="AU274" s="3" t="s">
        <v>3404</v>
      </c>
      <c r="AV274" s="3" t="s">
        <v>3405</v>
      </c>
      <c r="AW274" s="3" t="s">
        <v>3406</v>
      </c>
      <c r="AX274" s="3" t="s">
        <v>3406</v>
      </c>
      <c r="AY274" s="3" t="s">
        <v>3407</v>
      </c>
      <c r="AZ274" s="3" t="s">
        <v>75</v>
      </c>
      <c r="BC274" s="3" t="s">
        <v>3408</v>
      </c>
      <c r="BD274" s="3" t="s">
        <v>3409</v>
      </c>
    </row>
    <row r="275" spans="1:56" ht="44.25" customHeight="1" x14ac:dyDescent="0.25">
      <c r="A275" s="7" t="s">
        <v>61</v>
      </c>
      <c r="B275" s="2" t="s">
        <v>3410</v>
      </c>
      <c r="C275" s="2" t="s">
        <v>3411</v>
      </c>
      <c r="D275" s="2" t="s">
        <v>3412</v>
      </c>
      <c r="F275" s="3" t="s">
        <v>61</v>
      </c>
      <c r="G275" s="3" t="s">
        <v>60</v>
      </c>
      <c r="H275" s="3" t="s">
        <v>61</v>
      </c>
      <c r="I275" s="3" t="s">
        <v>61</v>
      </c>
      <c r="J275" s="3" t="s">
        <v>62</v>
      </c>
      <c r="K275" s="2" t="s">
        <v>3413</v>
      </c>
      <c r="L275" s="2" t="s">
        <v>3414</v>
      </c>
      <c r="M275" s="3" t="s">
        <v>1465</v>
      </c>
      <c r="O275" s="3" t="s">
        <v>114</v>
      </c>
      <c r="P275" s="3" t="s">
        <v>192</v>
      </c>
      <c r="R275" s="3" t="s">
        <v>68</v>
      </c>
      <c r="S275" s="4">
        <v>4</v>
      </c>
      <c r="T275" s="4">
        <v>4</v>
      </c>
      <c r="U275" s="5" t="s">
        <v>3415</v>
      </c>
      <c r="V275" s="5" t="s">
        <v>3415</v>
      </c>
      <c r="W275" s="5" t="s">
        <v>3416</v>
      </c>
      <c r="X275" s="5" t="s">
        <v>3416</v>
      </c>
      <c r="Y275" s="4">
        <v>311</v>
      </c>
      <c r="Z275" s="4">
        <v>255</v>
      </c>
      <c r="AA275" s="4">
        <v>255</v>
      </c>
      <c r="AB275" s="4">
        <v>2</v>
      </c>
      <c r="AC275" s="4">
        <v>2</v>
      </c>
      <c r="AD275" s="4">
        <v>13</v>
      </c>
      <c r="AE275" s="4">
        <v>13</v>
      </c>
      <c r="AF275" s="4">
        <v>5</v>
      </c>
      <c r="AG275" s="4">
        <v>5</v>
      </c>
      <c r="AH275" s="4">
        <v>5</v>
      </c>
      <c r="AI275" s="4">
        <v>5</v>
      </c>
      <c r="AJ275" s="4">
        <v>7</v>
      </c>
      <c r="AK275" s="4">
        <v>7</v>
      </c>
      <c r="AL275" s="4">
        <v>1</v>
      </c>
      <c r="AM275" s="4">
        <v>1</v>
      </c>
      <c r="AN275" s="4">
        <v>0</v>
      </c>
      <c r="AO275" s="4">
        <v>0</v>
      </c>
      <c r="AP275" s="3" t="s">
        <v>61</v>
      </c>
      <c r="AQ275" s="3" t="s">
        <v>61</v>
      </c>
      <c r="AS275" s="6" t="str">
        <f>HYPERLINK("https://creighton-primo.hosted.exlibrisgroup.com/primo-explore/search?tab=default_tab&amp;search_scope=EVERYTHING&amp;vid=01CRU&amp;lang=en_US&amp;offset=0&amp;query=any,contains,991001866089702656","Catalog Record")</f>
        <v>Catalog Record</v>
      </c>
      <c r="AT275" s="6" t="str">
        <f>HYPERLINK("http://www.worldcat.org/oclc/23463218","WorldCat Record")</f>
        <v>WorldCat Record</v>
      </c>
      <c r="AU275" s="3" t="s">
        <v>3417</v>
      </c>
      <c r="AV275" s="3" t="s">
        <v>3418</v>
      </c>
      <c r="AW275" s="3" t="s">
        <v>3419</v>
      </c>
      <c r="AX275" s="3" t="s">
        <v>3419</v>
      </c>
      <c r="AY275" s="3" t="s">
        <v>3420</v>
      </c>
      <c r="AZ275" s="3" t="s">
        <v>75</v>
      </c>
      <c r="BB275" s="3" t="s">
        <v>3421</v>
      </c>
      <c r="BC275" s="3" t="s">
        <v>3422</v>
      </c>
      <c r="BD275" s="3" t="s">
        <v>3423</v>
      </c>
    </row>
    <row r="276" spans="1:56" ht="44.25" customHeight="1" x14ac:dyDescent="0.25">
      <c r="A276" s="7" t="s">
        <v>61</v>
      </c>
      <c r="B276" s="2" t="s">
        <v>3424</v>
      </c>
      <c r="C276" s="2" t="s">
        <v>3425</v>
      </c>
      <c r="D276" s="2" t="s">
        <v>3426</v>
      </c>
      <c r="F276" s="3" t="s">
        <v>61</v>
      </c>
      <c r="G276" s="3" t="s">
        <v>60</v>
      </c>
      <c r="H276" s="3" t="s">
        <v>61</v>
      </c>
      <c r="I276" s="3" t="s">
        <v>59</v>
      </c>
      <c r="J276" s="3" t="s">
        <v>62</v>
      </c>
      <c r="K276" s="2" t="s">
        <v>3427</v>
      </c>
      <c r="L276" s="2" t="s">
        <v>3428</v>
      </c>
      <c r="M276" s="3" t="s">
        <v>1319</v>
      </c>
      <c r="O276" s="3" t="s">
        <v>114</v>
      </c>
      <c r="P276" s="3" t="s">
        <v>2553</v>
      </c>
      <c r="Q276" s="2" t="s">
        <v>3429</v>
      </c>
      <c r="R276" s="3" t="s">
        <v>68</v>
      </c>
      <c r="S276" s="4">
        <v>8</v>
      </c>
      <c r="T276" s="4">
        <v>8</v>
      </c>
      <c r="U276" s="5" t="s">
        <v>3430</v>
      </c>
      <c r="V276" s="5" t="s">
        <v>3430</v>
      </c>
      <c r="W276" s="5" t="s">
        <v>1732</v>
      </c>
      <c r="X276" s="5" t="s">
        <v>1732</v>
      </c>
      <c r="Y276" s="4">
        <v>604</v>
      </c>
      <c r="Z276" s="4">
        <v>576</v>
      </c>
      <c r="AA276" s="4">
        <v>1392</v>
      </c>
      <c r="AB276" s="4">
        <v>5</v>
      </c>
      <c r="AC276" s="4">
        <v>10</v>
      </c>
      <c r="AD276" s="4">
        <v>26</v>
      </c>
      <c r="AE276" s="4">
        <v>53</v>
      </c>
      <c r="AF276" s="4">
        <v>6</v>
      </c>
      <c r="AG276" s="4">
        <v>25</v>
      </c>
      <c r="AH276" s="4">
        <v>6</v>
      </c>
      <c r="AI276" s="4">
        <v>9</v>
      </c>
      <c r="AJ276" s="4">
        <v>16</v>
      </c>
      <c r="AK276" s="4">
        <v>24</v>
      </c>
      <c r="AL276" s="4">
        <v>4</v>
      </c>
      <c r="AM276" s="4">
        <v>8</v>
      </c>
      <c r="AN276" s="4">
        <v>0</v>
      </c>
      <c r="AO276" s="4">
        <v>0</v>
      </c>
      <c r="AP276" s="3" t="s">
        <v>61</v>
      </c>
      <c r="AQ276" s="3" t="s">
        <v>59</v>
      </c>
      <c r="AR276" s="6" t="str">
        <f>HYPERLINK("http://catalog.hathitrust.org/Record/007044003","HathiTrust Record")</f>
        <v>HathiTrust Record</v>
      </c>
      <c r="AS276" s="6" t="str">
        <f>HYPERLINK("https://creighton-primo.hosted.exlibrisgroup.com/primo-explore/search?tab=default_tab&amp;search_scope=EVERYTHING&amp;vid=01CRU&amp;lang=en_US&amp;offset=0&amp;query=any,contains,991004096409702656","Catalog Record")</f>
        <v>Catalog Record</v>
      </c>
      <c r="AT276" s="6" t="str">
        <f>HYPERLINK("http://www.worldcat.org/oclc/2360214","WorldCat Record")</f>
        <v>WorldCat Record</v>
      </c>
      <c r="AU276" s="3" t="s">
        <v>3431</v>
      </c>
      <c r="AV276" s="3" t="s">
        <v>3432</v>
      </c>
      <c r="AW276" s="3" t="s">
        <v>3433</v>
      </c>
      <c r="AX276" s="3" t="s">
        <v>3433</v>
      </c>
      <c r="AY276" s="3" t="s">
        <v>3434</v>
      </c>
      <c r="AZ276" s="3" t="s">
        <v>75</v>
      </c>
      <c r="BC276" s="3" t="s">
        <v>3435</v>
      </c>
      <c r="BD276" s="3" t="s">
        <v>3436</v>
      </c>
    </row>
    <row r="277" spans="1:56" ht="44.25" customHeight="1" x14ac:dyDescent="0.25">
      <c r="A277" s="7" t="s">
        <v>61</v>
      </c>
      <c r="B277" s="2" t="s">
        <v>3437</v>
      </c>
      <c r="C277" s="2" t="s">
        <v>3438</v>
      </c>
      <c r="D277" s="2" t="s">
        <v>3439</v>
      </c>
      <c r="F277" s="3" t="s">
        <v>61</v>
      </c>
      <c r="G277" s="3" t="s">
        <v>60</v>
      </c>
      <c r="H277" s="3" t="s">
        <v>61</v>
      </c>
      <c r="I277" s="3" t="s">
        <v>61</v>
      </c>
      <c r="J277" s="3" t="s">
        <v>62</v>
      </c>
      <c r="K277" s="2" t="s">
        <v>1263</v>
      </c>
      <c r="L277" s="2" t="s">
        <v>406</v>
      </c>
      <c r="M277" s="3" t="s">
        <v>407</v>
      </c>
      <c r="O277" s="3" t="s">
        <v>114</v>
      </c>
      <c r="P277" s="3" t="s">
        <v>235</v>
      </c>
      <c r="R277" s="3" t="s">
        <v>68</v>
      </c>
      <c r="S277" s="4">
        <v>10</v>
      </c>
      <c r="T277" s="4">
        <v>10</v>
      </c>
      <c r="U277" s="5" t="s">
        <v>3440</v>
      </c>
      <c r="V277" s="5" t="s">
        <v>3440</v>
      </c>
      <c r="W277" s="5" t="s">
        <v>3441</v>
      </c>
      <c r="X277" s="5" t="s">
        <v>3441</v>
      </c>
      <c r="Y277" s="4">
        <v>1048</v>
      </c>
      <c r="Z277" s="4">
        <v>849</v>
      </c>
      <c r="AA277" s="4">
        <v>994</v>
      </c>
      <c r="AB277" s="4">
        <v>5</v>
      </c>
      <c r="AC277" s="4">
        <v>7</v>
      </c>
      <c r="AD277" s="4">
        <v>35</v>
      </c>
      <c r="AE277" s="4">
        <v>41</v>
      </c>
      <c r="AF277" s="4">
        <v>14</v>
      </c>
      <c r="AG277" s="4">
        <v>16</v>
      </c>
      <c r="AH277" s="4">
        <v>9</v>
      </c>
      <c r="AI277" s="4">
        <v>10</v>
      </c>
      <c r="AJ277" s="4">
        <v>19</v>
      </c>
      <c r="AK277" s="4">
        <v>20</v>
      </c>
      <c r="AL277" s="4">
        <v>4</v>
      </c>
      <c r="AM277" s="4">
        <v>6</v>
      </c>
      <c r="AN277" s="4">
        <v>0</v>
      </c>
      <c r="AO277" s="4">
        <v>0</v>
      </c>
      <c r="AP277" s="3" t="s">
        <v>61</v>
      </c>
      <c r="AQ277" s="3" t="s">
        <v>59</v>
      </c>
      <c r="AR277" s="6" t="str">
        <f>HYPERLINK("http://catalog.hathitrust.org/Record/002934688","HathiTrust Record")</f>
        <v>HathiTrust Record</v>
      </c>
      <c r="AS277" s="6" t="str">
        <f>HYPERLINK("https://creighton-primo.hosted.exlibrisgroup.com/primo-explore/search?tab=default_tab&amp;search_scope=EVERYTHING&amp;vid=01CRU&amp;lang=en_US&amp;offset=0&amp;query=any,contains,991002321459702656","Catalog Record")</f>
        <v>Catalog Record</v>
      </c>
      <c r="AT277" s="6" t="str">
        <f>HYPERLINK("http://www.worldcat.org/oclc/30110182","WorldCat Record")</f>
        <v>WorldCat Record</v>
      </c>
      <c r="AU277" s="3" t="s">
        <v>3442</v>
      </c>
      <c r="AV277" s="3" t="s">
        <v>3443</v>
      </c>
      <c r="AW277" s="3" t="s">
        <v>3444</v>
      </c>
      <c r="AX277" s="3" t="s">
        <v>3444</v>
      </c>
      <c r="AY277" s="3" t="s">
        <v>3445</v>
      </c>
      <c r="AZ277" s="3" t="s">
        <v>75</v>
      </c>
      <c r="BB277" s="3" t="s">
        <v>3446</v>
      </c>
      <c r="BC277" s="3" t="s">
        <v>3447</v>
      </c>
      <c r="BD277" s="3" t="s">
        <v>3448</v>
      </c>
    </row>
    <row r="278" spans="1:56" ht="44.25" customHeight="1" x14ac:dyDescent="0.25">
      <c r="A278" s="7" t="s">
        <v>61</v>
      </c>
      <c r="B278" s="2" t="s">
        <v>3449</v>
      </c>
      <c r="C278" s="2" t="s">
        <v>3450</v>
      </c>
      <c r="D278" s="2" t="s">
        <v>3451</v>
      </c>
      <c r="F278" s="3" t="s">
        <v>61</v>
      </c>
      <c r="G278" s="3" t="s">
        <v>60</v>
      </c>
      <c r="H278" s="3" t="s">
        <v>61</v>
      </c>
      <c r="I278" s="3" t="s">
        <v>61</v>
      </c>
      <c r="J278" s="3" t="s">
        <v>62</v>
      </c>
      <c r="K278" s="2" t="s">
        <v>3452</v>
      </c>
      <c r="L278" s="2" t="s">
        <v>3453</v>
      </c>
      <c r="M278" s="3" t="s">
        <v>1376</v>
      </c>
      <c r="O278" s="3" t="s">
        <v>114</v>
      </c>
      <c r="P278" s="3" t="s">
        <v>235</v>
      </c>
      <c r="R278" s="3" t="s">
        <v>68</v>
      </c>
      <c r="S278" s="4">
        <v>8</v>
      </c>
      <c r="T278" s="4">
        <v>8</v>
      </c>
      <c r="U278" s="5" t="s">
        <v>2622</v>
      </c>
      <c r="V278" s="5" t="s">
        <v>2622</v>
      </c>
      <c r="W278" s="5" t="s">
        <v>1732</v>
      </c>
      <c r="X278" s="5" t="s">
        <v>1732</v>
      </c>
      <c r="Y278" s="4">
        <v>456</v>
      </c>
      <c r="Z278" s="4">
        <v>383</v>
      </c>
      <c r="AA278" s="4">
        <v>555</v>
      </c>
      <c r="AB278" s="4">
        <v>4</v>
      </c>
      <c r="AC278" s="4">
        <v>7</v>
      </c>
      <c r="AD278" s="4">
        <v>10</v>
      </c>
      <c r="AE278" s="4">
        <v>21</v>
      </c>
      <c r="AF278" s="4">
        <v>3</v>
      </c>
      <c r="AG278" s="4">
        <v>5</v>
      </c>
      <c r="AH278" s="4">
        <v>5</v>
      </c>
      <c r="AI278" s="4">
        <v>5</v>
      </c>
      <c r="AJ278" s="4">
        <v>2</v>
      </c>
      <c r="AK278" s="4">
        <v>8</v>
      </c>
      <c r="AL278" s="4">
        <v>2</v>
      </c>
      <c r="AM278" s="4">
        <v>5</v>
      </c>
      <c r="AN278" s="4">
        <v>0</v>
      </c>
      <c r="AO278" s="4">
        <v>0</v>
      </c>
      <c r="AP278" s="3" t="s">
        <v>61</v>
      </c>
      <c r="AQ278" s="3" t="s">
        <v>61</v>
      </c>
      <c r="AS278" s="6" t="str">
        <f>HYPERLINK("https://creighton-primo.hosted.exlibrisgroup.com/primo-explore/search?tab=default_tab&amp;search_scope=EVERYTHING&amp;vid=01CRU&amp;lang=en_US&amp;offset=0&amp;query=any,contains,991000005819702656","Catalog Record")</f>
        <v>Catalog Record</v>
      </c>
      <c r="AT278" s="6" t="str">
        <f>HYPERLINK("http://www.worldcat.org/oclc/13293","WorldCat Record")</f>
        <v>WorldCat Record</v>
      </c>
      <c r="AU278" s="3" t="s">
        <v>3454</v>
      </c>
      <c r="AV278" s="3" t="s">
        <v>3455</v>
      </c>
      <c r="AW278" s="3" t="s">
        <v>3456</v>
      </c>
      <c r="AX278" s="3" t="s">
        <v>3456</v>
      </c>
      <c r="AY278" s="3" t="s">
        <v>3457</v>
      </c>
      <c r="AZ278" s="3" t="s">
        <v>75</v>
      </c>
      <c r="BB278" s="3" t="s">
        <v>3458</v>
      </c>
      <c r="BC278" s="3" t="s">
        <v>3459</v>
      </c>
      <c r="BD278" s="3" t="s">
        <v>3460</v>
      </c>
    </row>
    <row r="279" spans="1:56" ht="44.25" customHeight="1" x14ac:dyDescent="0.25">
      <c r="A279" s="7" t="s">
        <v>61</v>
      </c>
      <c r="B279" s="2" t="s">
        <v>3461</v>
      </c>
      <c r="C279" s="2" t="s">
        <v>3462</v>
      </c>
      <c r="D279" s="2" t="s">
        <v>3463</v>
      </c>
      <c r="F279" s="3" t="s">
        <v>61</v>
      </c>
      <c r="G279" s="3" t="s">
        <v>60</v>
      </c>
      <c r="H279" s="3" t="s">
        <v>61</v>
      </c>
      <c r="I279" s="3" t="s">
        <v>61</v>
      </c>
      <c r="J279" s="3" t="s">
        <v>62</v>
      </c>
      <c r="K279" s="2" t="s">
        <v>3464</v>
      </c>
      <c r="L279" s="2" t="s">
        <v>3465</v>
      </c>
      <c r="M279" s="3" t="s">
        <v>784</v>
      </c>
      <c r="O279" s="3" t="s">
        <v>114</v>
      </c>
      <c r="P279" s="3" t="s">
        <v>235</v>
      </c>
      <c r="R279" s="3" t="s">
        <v>68</v>
      </c>
      <c r="S279" s="4">
        <v>5</v>
      </c>
      <c r="T279" s="4">
        <v>5</v>
      </c>
      <c r="U279" s="5" t="s">
        <v>3466</v>
      </c>
      <c r="V279" s="5" t="s">
        <v>3466</v>
      </c>
      <c r="W279" s="5" t="s">
        <v>3353</v>
      </c>
      <c r="X279" s="5" t="s">
        <v>3353</v>
      </c>
      <c r="Y279" s="4">
        <v>1228</v>
      </c>
      <c r="Z279" s="4">
        <v>1154</v>
      </c>
      <c r="AA279" s="4">
        <v>1240</v>
      </c>
      <c r="AB279" s="4">
        <v>9</v>
      </c>
      <c r="AC279" s="4">
        <v>9</v>
      </c>
      <c r="AD279" s="4">
        <v>40</v>
      </c>
      <c r="AE279" s="4">
        <v>43</v>
      </c>
      <c r="AF279" s="4">
        <v>16</v>
      </c>
      <c r="AG279" s="4">
        <v>18</v>
      </c>
      <c r="AH279" s="4">
        <v>6</v>
      </c>
      <c r="AI279" s="4">
        <v>7</v>
      </c>
      <c r="AJ279" s="4">
        <v>20</v>
      </c>
      <c r="AK279" s="4">
        <v>21</v>
      </c>
      <c r="AL279" s="4">
        <v>6</v>
      </c>
      <c r="AM279" s="4">
        <v>6</v>
      </c>
      <c r="AN279" s="4">
        <v>0</v>
      </c>
      <c r="AO279" s="4">
        <v>0</v>
      </c>
      <c r="AP279" s="3" t="s">
        <v>61</v>
      </c>
      <c r="AQ279" s="3" t="s">
        <v>61</v>
      </c>
      <c r="AS279" s="6" t="str">
        <f>HYPERLINK("https://creighton-primo.hosted.exlibrisgroup.com/primo-explore/search?tab=default_tab&amp;search_scope=EVERYTHING&amp;vid=01CRU&amp;lang=en_US&amp;offset=0&amp;query=any,contains,991002360669702656","Catalog Record")</f>
        <v>Catalog Record</v>
      </c>
      <c r="AT279" s="6" t="str">
        <f>HYPERLINK("http://www.worldcat.org/oclc/325845","WorldCat Record")</f>
        <v>WorldCat Record</v>
      </c>
      <c r="AU279" s="3" t="s">
        <v>3467</v>
      </c>
      <c r="AV279" s="3" t="s">
        <v>3468</v>
      </c>
      <c r="AW279" s="3" t="s">
        <v>3469</v>
      </c>
      <c r="AX279" s="3" t="s">
        <v>3469</v>
      </c>
      <c r="AY279" s="3" t="s">
        <v>3470</v>
      </c>
      <c r="AZ279" s="3" t="s">
        <v>75</v>
      </c>
      <c r="BC279" s="3" t="s">
        <v>3471</v>
      </c>
      <c r="BD279" s="3" t="s">
        <v>3472</v>
      </c>
    </row>
    <row r="280" spans="1:56" ht="44.25" customHeight="1" x14ac:dyDescent="0.25">
      <c r="A280" s="7" t="s">
        <v>61</v>
      </c>
      <c r="B280" s="2" t="s">
        <v>3473</v>
      </c>
      <c r="C280" s="2" t="s">
        <v>3474</v>
      </c>
      <c r="D280" s="2" t="s">
        <v>3475</v>
      </c>
      <c r="F280" s="3" t="s">
        <v>61</v>
      </c>
      <c r="G280" s="3" t="s">
        <v>60</v>
      </c>
      <c r="H280" s="3" t="s">
        <v>61</v>
      </c>
      <c r="I280" s="3" t="s">
        <v>61</v>
      </c>
      <c r="J280" s="3" t="s">
        <v>62</v>
      </c>
      <c r="K280" s="2" t="s">
        <v>3476</v>
      </c>
      <c r="L280" s="2" t="s">
        <v>3477</v>
      </c>
      <c r="M280" s="3" t="s">
        <v>579</v>
      </c>
      <c r="O280" s="3" t="s">
        <v>114</v>
      </c>
      <c r="P280" s="3" t="s">
        <v>1439</v>
      </c>
      <c r="R280" s="3" t="s">
        <v>68</v>
      </c>
      <c r="S280" s="4">
        <v>3</v>
      </c>
      <c r="T280" s="4">
        <v>3</v>
      </c>
      <c r="U280" s="5" t="s">
        <v>3478</v>
      </c>
      <c r="V280" s="5" t="s">
        <v>3478</v>
      </c>
      <c r="W280" s="5" t="s">
        <v>1732</v>
      </c>
      <c r="X280" s="5" t="s">
        <v>1732</v>
      </c>
      <c r="Y280" s="4">
        <v>300</v>
      </c>
      <c r="Z280" s="4">
        <v>270</v>
      </c>
      <c r="AA280" s="4">
        <v>348</v>
      </c>
      <c r="AB280" s="4">
        <v>1</v>
      </c>
      <c r="AC280" s="4">
        <v>3</v>
      </c>
      <c r="AD280" s="4">
        <v>16</v>
      </c>
      <c r="AE280" s="4">
        <v>20</v>
      </c>
      <c r="AF280" s="4">
        <v>6</v>
      </c>
      <c r="AG280" s="4">
        <v>6</v>
      </c>
      <c r="AH280" s="4">
        <v>7</v>
      </c>
      <c r="AI280" s="4">
        <v>8</v>
      </c>
      <c r="AJ280" s="4">
        <v>10</v>
      </c>
      <c r="AK280" s="4">
        <v>12</v>
      </c>
      <c r="AL280" s="4">
        <v>0</v>
      </c>
      <c r="AM280" s="4">
        <v>2</v>
      </c>
      <c r="AN280" s="4">
        <v>0</v>
      </c>
      <c r="AO280" s="4">
        <v>0</v>
      </c>
      <c r="AP280" s="3" t="s">
        <v>61</v>
      </c>
      <c r="AQ280" s="3" t="s">
        <v>59</v>
      </c>
      <c r="AR280" s="6" t="str">
        <f>HYPERLINK("http://catalog.hathitrust.org/Record/000402576","HathiTrust Record")</f>
        <v>HathiTrust Record</v>
      </c>
      <c r="AS280" s="6" t="str">
        <f>HYPERLINK("https://creighton-primo.hosted.exlibrisgroup.com/primo-explore/search?tab=default_tab&amp;search_scope=EVERYTHING&amp;vid=01CRU&amp;lang=en_US&amp;offset=0&amp;query=any,contains,991000816269702656","Catalog Record")</f>
        <v>Catalog Record</v>
      </c>
      <c r="AT280" s="6" t="str">
        <f>HYPERLINK("http://www.worldcat.org/oclc/13358536","WorldCat Record")</f>
        <v>WorldCat Record</v>
      </c>
      <c r="AU280" s="3" t="s">
        <v>3479</v>
      </c>
      <c r="AV280" s="3" t="s">
        <v>3480</v>
      </c>
      <c r="AW280" s="3" t="s">
        <v>3481</v>
      </c>
      <c r="AX280" s="3" t="s">
        <v>3481</v>
      </c>
      <c r="AY280" s="3" t="s">
        <v>3482</v>
      </c>
      <c r="AZ280" s="3" t="s">
        <v>75</v>
      </c>
      <c r="BB280" s="3" t="s">
        <v>3483</v>
      </c>
      <c r="BC280" s="3" t="s">
        <v>3484</v>
      </c>
      <c r="BD280" s="3" t="s">
        <v>3485</v>
      </c>
    </row>
    <row r="281" spans="1:56" ht="44.25" customHeight="1" x14ac:dyDescent="0.25">
      <c r="A281" s="7" t="s">
        <v>61</v>
      </c>
      <c r="B281" s="2" t="s">
        <v>3486</v>
      </c>
      <c r="C281" s="2" t="s">
        <v>3487</v>
      </c>
      <c r="D281" s="2" t="s">
        <v>3488</v>
      </c>
      <c r="F281" s="3" t="s">
        <v>61</v>
      </c>
      <c r="G281" s="3" t="s">
        <v>60</v>
      </c>
      <c r="H281" s="3" t="s">
        <v>61</v>
      </c>
      <c r="I281" s="3" t="s">
        <v>61</v>
      </c>
      <c r="J281" s="3" t="s">
        <v>62</v>
      </c>
      <c r="K281" s="2" t="s">
        <v>3489</v>
      </c>
      <c r="L281" s="2" t="s">
        <v>3490</v>
      </c>
      <c r="M281" s="3" t="s">
        <v>1211</v>
      </c>
      <c r="O281" s="3" t="s">
        <v>114</v>
      </c>
      <c r="P281" s="3" t="s">
        <v>235</v>
      </c>
      <c r="R281" s="3" t="s">
        <v>68</v>
      </c>
      <c r="S281" s="4">
        <v>4</v>
      </c>
      <c r="T281" s="4">
        <v>4</v>
      </c>
      <c r="U281" s="5" t="s">
        <v>3491</v>
      </c>
      <c r="V281" s="5" t="s">
        <v>3491</v>
      </c>
      <c r="W281" s="5" t="s">
        <v>3353</v>
      </c>
      <c r="X281" s="5" t="s">
        <v>3353</v>
      </c>
      <c r="Y281" s="4">
        <v>531</v>
      </c>
      <c r="Z281" s="4">
        <v>506</v>
      </c>
      <c r="AA281" s="4">
        <v>506</v>
      </c>
      <c r="AB281" s="4">
        <v>5</v>
      </c>
      <c r="AC281" s="4">
        <v>5</v>
      </c>
      <c r="AD281" s="4">
        <v>25</v>
      </c>
      <c r="AE281" s="4">
        <v>25</v>
      </c>
      <c r="AF281" s="4">
        <v>10</v>
      </c>
      <c r="AG281" s="4">
        <v>10</v>
      </c>
      <c r="AH281" s="4">
        <v>5</v>
      </c>
      <c r="AI281" s="4">
        <v>5</v>
      </c>
      <c r="AJ281" s="4">
        <v>13</v>
      </c>
      <c r="AK281" s="4">
        <v>13</v>
      </c>
      <c r="AL281" s="4">
        <v>3</v>
      </c>
      <c r="AM281" s="4">
        <v>3</v>
      </c>
      <c r="AN281" s="4">
        <v>0</v>
      </c>
      <c r="AO281" s="4">
        <v>0</v>
      </c>
      <c r="AP281" s="3" t="s">
        <v>61</v>
      </c>
      <c r="AQ281" s="3" t="s">
        <v>59</v>
      </c>
      <c r="AR281" s="6" t="str">
        <f>HYPERLINK("http://catalog.hathitrust.org/Record/000669993","HathiTrust Record")</f>
        <v>HathiTrust Record</v>
      </c>
      <c r="AS281" s="6" t="str">
        <f>HYPERLINK("https://creighton-primo.hosted.exlibrisgroup.com/primo-explore/search?tab=default_tab&amp;search_scope=EVERYTHING&amp;vid=01CRU&amp;lang=en_US&amp;offset=0&amp;query=any,contains,991003130979702656","Catalog Record")</f>
        <v>Catalog Record</v>
      </c>
      <c r="AT281" s="6" t="str">
        <f>HYPERLINK("http://www.worldcat.org/oclc/674102","WorldCat Record")</f>
        <v>WorldCat Record</v>
      </c>
      <c r="AU281" s="3" t="s">
        <v>3492</v>
      </c>
      <c r="AV281" s="3" t="s">
        <v>3493</v>
      </c>
      <c r="AW281" s="3" t="s">
        <v>3494</v>
      </c>
      <c r="AX281" s="3" t="s">
        <v>3494</v>
      </c>
      <c r="AY281" s="3" t="s">
        <v>3495</v>
      </c>
      <c r="AZ281" s="3" t="s">
        <v>75</v>
      </c>
      <c r="BB281" s="3" t="s">
        <v>3496</v>
      </c>
      <c r="BC281" s="3" t="s">
        <v>3497</v>
      </c>
      <c r="BD281" s="3" t="s">
        <v>3498</v>
      </c>
    </row>
    <row r="282" spans="1:56" ht="44.25" customHeight="1" x14ac:dyDescent="0.25">
      <c r="A282" s="7" t="s">
        <v>61</v>
      </c>
      <c r="B282" s="2" t="s">
        <v>3499</v>
      </c>
      <c r="C282" s="2" t="s">
        <v>3500</v>
      </c>
      <c r="D282" s="2" t="s">
        <v>3501</v>
      </c>
      <c r="F282" s="3" t="s">
        <v>61</v>
      </c>
      <c r="G282" s="3" t="s">
        <v>60</v>
      </c>
      <c r="H282" s="3" t="s">
        <v>61</v>
      </c>
      <c r="I282" s="3" t="s">
        <v>61</v>
      </c>
      <c r="J282" s="3" t="s">
        <v>62</v>
      </c>
      <c r="K282" s="2" t="s">
        <v>3502</v>
      </c>
      <c r="L282" s="2" t="s">
        <v>3503</v>
      </c>
      <c r="M282" s="3" t="s">
        <v>2391</v>
      </c>
      <c r="N282" s="2" t="s">
        <v>634</v>
      </c>
      <c r="O282" s="3" t="s">
        <v>114</v>
      </c>
      <c r="P282" s="3" t="s">
        <v>235</v>
      </c>
      <c r="R282" s="3" t="s">
        <v>68</v>
      </c>
      <c r="S282" s="4">
        <v>2</v>
      </c>
      <c r="T282" s="4">
        <v>2</v>
      </c>
      <c r="U282" s="5" t="s">
        <v>3504</v>
      </c>
      <c r="V282" s="5" t="s">
        <v>3504</v>
      </c>
      <c r="W282" s="5" t="s">
        <v>3505</v>
      </c>
      <c r="X282" s="5" t="s">
        <v>3505</v>
      </c>
      <c r="Y282" s="4">
        <v>2084</v>
      </c>
      <c r="Z282" s="4">
        <v>2015</v>
      </c>
      <c r="AA282" s="4">
        <v>2187</v>
      </c>
      <c r="AB282" s="4">
        <v>30</v>
      </c>
      <c r="AC282" s="4">
        <v>31</v>
      </c>
      <c r="AD282" s="4">
        <v>21</v>
      </c>
      <c r="AE282" s="4">
        <v>22</v>
      </c>
      <c r="AF282" s="4">
        <v>7</v>
      </c>
      <c r="AG282" s="4">
        <v>8</v>
      </c>
      <c r="AH282" s="4">
        <v>5</v>
      </c>
      <c r="AI282" s="4">
        <v>5</v>
      </c>
      <c r="AJ282" s="4">
        <v>10</v>
      </c>
      <c r="AK282" s="4">
        <v>11</v>
      </c>
      <c r="AL282" s="4">
        <v>3</v>
      </c>
      <c r="AM282" s="4">
        <v>3</v>
      </c>
      <c r="AN282" s="4">
        <v>0</v>
      </c>
      <c r="AO282" s="4">
        <v>0</v>
      </c>
      <c r="AP282" s="3" t="s">
        <v>61</v>
      </c>
      <c r="AQ282" s="3" t="s">
        <v>61</v>
      </c>
      <c r="AS282" s="6" t="str">
        <f>HYPERLINK("https://creighton-primo.hosted.exlibrisgroup.com/primo-explore/search?tab=default_tab&amp;search_scope=EVERYTHING&amp;vid=01CRU&amp;lang=en_US&amp;offset=0&amp;query=any,contains,991003645859702656","Catalog Record")</f>
        <v>Catalog Record</v>
      </c>
      <c r="AT282" s="6" t="str">
        <f>HYPERLINK("http://www.worldcat.org/oclc/47717938","WorldCat Record")</f>
        <v>WorldCat Record</v>
      </c>
      <c r="AU282" s="3" t="s">
        <v>3506</v>
      </c>
      <c r="AV282" s="3" t="s">
        <v>3507</v>
      </c>
      <c r="AW282" s="3" t="s">
        <v>3508</v>
      </c>
      <c r="AX282" s="3" t="s">
        <v>3508</v>
      </c>
      <c r="AY282" s="3" t="s">
        <v>3509</v>
      </c>
      <c r="AZ282" s="3" t="s">
        <v>75</v>
      </c>
      <c r="BB282" s="3" t="s">
        <v>3510</v>
      </c>
      <c r="BC282" s="3" t="s">
        <v>3511</v>
      </c>
      <c r="BD282" s="3" t="s">
        <v>3512</v>
      </c>
    </row>
    <row r="283" spans="1:56" ht="44.25" customHeight="1" x14ac:dyDescent="0.25">
      <c r="A283" s="7" t="s">
        <v>61</v>
      </c>
      <c r="B283" s="2" t="s">
        <v>3513</v>
      </c>
      <c r="C283" s="2" t="s">
        <v>3514</v>
      </c>
      <c r="D283" s="2" t="s">
        <v>3515</v>
      </c>
      <c r="F283" s="3" t="s">
        <v>61</v>
      </c>
      <c r="G283" s="3" t="s">
        <v>60</v>
      </c>
      <c r="H283" s="3" t="s">
        <v>61</v>
      </c>
      <c r="I283" s="3" t="s">
        <v>61</v>
      </c>
      <c r="J283" s="3" t="s">
        <v>62</v>
      </c>
      <c r="K283" s="2" t="s">
        <v>3516</v>
      </c>
      <c r="L283" s="2" t="s">
        <v>3517</v>
      </c>
      <c r="M283" s="3" t="s">
        <v>770</v>
      </c>
      <c r="O283" s="3" t="s">
        <v>114</v>
      </c>
      <c r="P283" s="3" t="s">
        <v>67</v>
      </c>
      <c r="R283" s="3" t="s">
        <v>68</v>
      </c>
      <c r="S283" s="4">
        <v>2</v>
      </c>
      <c r="T283" s="4">
        <v>2</v>
      </c>
      <c r="U283" s="5" t="s">
        <v>3518</v>
      </c>
      <c r="V283" s="5" t="s">
        <v>3518</v>
      </c>
      <c r="W283" s="5" t="s">
        <v>2491</v>
      </c>
      <c r="X283" s="5" t="s">
        <v>2491</v>
      </c>
      <c r="Y283" s="4">
        <v>154</v>
      </c>
      <c r="Z283" s="4">
        <v>154</v>
      </c>
      <c r="AA283" s="4">
        <v>299</v>
      </c>
      <c r="AB283" s="4">
        <v>1</v>
      </c>
      <c r="AC283" s="4">
        <v>1</v>
      </c>
      <c r="AD283" s="4">
        <v>2</v>
      </c>
      <c r="AE283" s="4">
        <v>3</v>
      </c>
      <c r="AF283" s="4">
        <v>2</v>
      </c>
      <c r="AG283" s="4">
        <v>2</v>
      </c>
      <c r="AH283" s="4">
        <v>0</v>
      </c>
      <c r="AI283" s="4">
        <v>0</v>
      </c>
      <c r="AJ283" s="4">
        <v>0</v>
      </c>
      <c r="AK283" s="4">
        <v>1</v>
      </c>
      <c r="AL283" s="4">
        <v>0</v>
      </c>
      <c r="AM283" s="4">
        <v>0</v>
      </c>
      <c r="AN283" s="4">
        <v>0</v>
      </c>
      <c r="AO283" s="4">
        <v>0</v>
      </c>
      <c r="AP283" s="3" t="s">
        <v>61</v>
      </c>
      <c r="AQ283" s="3" t="s">
        <v>61</v>
      </c>
      <c r="AS283" s="6" t="str">
        <f>HYPERLINK("https://creighton-primo.hosted.exlibrisgroup.com/primo-explore/search?tab=default_tab&amp;search_scope=EVERYTHING&amp;vid=01CRU&amp;lang=en_US&amp;offset=0&amp;query=any,contains,991003866079702656","Catalog Record")</f>
        <v>Catalog Record</v>
      </c>
      <c r="AT283" s="6" t="str">
        <f>HYPERLINK("http://www.worldcat.org/oclc/1677813","WorldCat Record")</f>
        <v>WorldCat Record</v>
      </c>
      <c r="AU283" s="3" t="s">
        <v>3519</v>
      </c>
      <c r="AV283" s="3" t="s">
        <v>3520</v>
      </c>
      <c r="AW283" s="3" t="s">
        <v>3521</v>
      </c>
      <c r="AX283" s="3" t="s">
        <v>3521</v>
      </c>
      <c r="AY283" s="3" t="s">
        <v>3522</v>
      </c>
      <c r="AZ283" s="3" t="s">
        <v>75</v>
      </c>
      <c r="BB283" s="3" t="s">
        <v>3523</v>
      </c>
      <c r="BC283" s="3" t="s">
        <v>3524</v>
      </c>
      <c r="BD283" s="3" t="s">
        <v>3525</v>
      </c>
    </row>
    <row r="284" spans="1:56" ht="44.25" customHeight="1" x14ac:dyDescent="0.25">
      <c r="A284" s="7" t="s">
        <v>61</v>
      </c>
      <c r="B284" s="2" t="s">
        <v>3526</v>
      </c>
      <c r="C284" s="2" t="s">
        <v>3527</v>
      </c>
      <c r="D284" s="2" t="s">
        <v>3528</v>
      </c>
      <c r="E284" s="3" t="s">
        <v>87</v>
      </c>
      <c r="F284" s="3" t="s">
        <v>59</v>
      </c>
      <c r="G284" s="3" t="s">
        <v>60</v>
      </c>
      <c r="H284" s="3" t="s">
        <v>61</v>
      </c>
      <c r="I284" s="3" t="s">
        <v>61</v>
      </c>
      <c r="J284" s="3" t="s">
        <v>62</v>
      </c>
      <c r="K284" s="2" t="s">
        <v>3529</v>
      </c>
      <c r="L284" s="2" t="s">
        <v>3530</v>
      </c>
      <c r="M284" s="3" t="s">
        <v>3531</v>
      </c>
      <c r="N284" s="2" t="s">
        <v>3532</v>
      </c>
      <c r="O284" s="3" t="s">
        <v>114</v>
      </c>
      <c r="P284" s="3" t="s">
        <v>437</v>
      </c>
      <c r="Q284" s="2" t="s">
        <v>3533</v>
      </c>
      <c r="R284" s="3" t="s">
        <v>68</v>
      </c>
      <c r="S284" s="4">
        <v>0</v>
      </c>
      <c r="T284" s="4">
        <v>3</v>
      </c>
      <c r="V284" s="5" t="s">
        <v>3534</v>
      </c>
      <c r="W284" s="5" t="s">
        <v>2491</v>
      </c>
      <c r="X284" s="5" t="s">
        <v>2491</v>
      </c>
      <c r="Y284" s="4">
        <v>68</v>
      </c>
      <c r="Z284" s="4">
        <v>65</v>
      </c>
      <c r="AA284" s="4">
        <v>142</v>
      </c>
      <c r="AB284" s="4">
        <v>1</v>
      </c>
      <c r="AC284" s="4">
        <v>2</v>
      </c>
      <c r="AD284" s="4">
        <v>1</v>
      </c>
      <c r="AE284" s="4">
        <v>6</v>
      </c>
      <c r="AF284" s="4">
        <v>0</v>
      </c>
      <c r="AG284" s="4">
        <v>1</v>
      </c>
      <c r="AH284" s="4">
        <v>1</v>
      </c>
      <c r="AI284" s="4">
        <v>2</v>
      </c>
      <c r="AJ284" s="4">
        <v>0</v>
      </c>
      <c r="AK284" s="4">
        <v>2</v>
      </c>
      <c r="AL284" s="4">
        <v>0</v>
      </c>
      <c r="AM284" s="4">
        <v>1</v>
      </c>
      <c r="AN284" s="4">
        <v>0</v>
      </c>
      <c r="AO284" s="4">
        <v>0</v>
      </c>
      <c r="AP284" s="3" t="s">
        <v>59</v>
      </c>
      <c r="AQ284" s="3" t="s">
        <v>61</v>
      </c>
      <c r="AR284" s="6" t="str">
        <f t="shared" ref="AR284:AR298" si="6">HYPERLINK("http://catalog.hathitrust.org/Record/007690721","HathiTrust Record")</f>
        <v>HathiTrust Record</v>
      </c>
      <c r="AS284" s="6" t="str">
        <f t="shared" ref="AS284:AS298" si="7">HYPERLINK("https://creighton-primo.hosted.exlibrisgroup.com/primo-explore/search?tab=default_tab&amp;search_scope=EVERYTHING&amp;vid=01CRU&amp;lang=en_US&amp;offset=0&amp;query=any,contains,991003894159702656","Catalog Record")</f>
        <v>Catalog Record</v>
      </c>
      <c r="AT284" s="6" t="str">
        <f t="shared" ref="AT284:AT298" si="8">HYPERLINK("http://www.worldcat.org/oclc/1804827","WorldCat Record")</f>
        <v>WorldCat Record</v>
      </c>
      <c r="AU284" s="3" t="s">
        <v>3535</v>
      </c>
      <c r="AV284" s="3" t="s">
        <v>3536</v>
      </c>
      <c r="AW284" s="3" t="s">
        <v>3537</v>
      </c>
      <c r="AX284" s="3" t="s">
        <v>3537</v>
      </c>
      <c r="AY284" s="3" t="s">
        <v>3538</v>
      </c>
      <c r="AZ284" s="3" t="s">
        <v>75</v>
      </c>
      <c r="BC284" s="3" t="s">
        <v>3539</v>
      </c>
      <c r="BD284" s="3" t="s">
        <v>3540</v>
      </c>
    </row>
    <row r="285" spans="1:56" ht="44.25" customHeight="1" x14ac:dyDescent="0.25">
      <c r="A285" s="7" t="s">
        <v>61</v>
      </c>
      <c r="B285" s="2" t="s">
        <v>3526</v>
      </c>
      <c r="C285" s="2" t="s">
        <v>3527</v>
      </c>
      <c r="D285" s="2" t="s">
        <v>3528</v>
      </c>
      <c r="E285" s="3" t="s">
        <v>96</v>
      </c>
      <c r="F285" s="3" t="s">
        <v>59</v>
      </c>
      <c r="G285" s="3" t="s">
        <v>60</v>
      </c>
      <c r="H285" s="3" t="s">
        <v>61</v>
      </c>
      <c r="I285" s="3" t="s">
        <v>61</v>
      </c>
      <c r="J285" s="3" t="s">
        <v>62</v>
      </c>
      <c r="K285" s="2" t="s">
        <v>3529</v>
      </c>
      <c r="L285" s="2" t="s">
        <v>3530</v>
      </c>
      <c r="M285" s="3" t="s">
        <v>3531</v>
      </c>
      <c r="N285" s="2" t="s">
        <v>3532</v>
      </c>
      <c r="O285" s="3" t="s">
        <v>114</v>
      </c>
      <c r="P285" s="3" t="s">
        <v>437</v>
      </c>
      <c r="Q285" s="2" t="s">
        <v>3533</v>
      </c>
      <c r="R285" s="3" t="s">
        <v>68</v>
      </c>
      <c r="S285" s="4">
        <v>0</v>
      </c>
      <c r="T285" s="4">
        <v>3</v>
      </c>
      <c r="V285" s="5" t="s">
        <v>3534</v>
      </c>
      <c r="W285" s="5" t="s">
        <v>2491</v>
      </c>
      <c r="X285" s="5" t="s">
        <v>2491</v>
      </c>
      <c r="Y285" s="4">
        <v>68</v>
      </c>
      <c r="Z285" s="4">
        <v>65</v>
      </c>
      <c r="AA285" s="4">
        <v>142</v>
      </c>
      <c r="AB285" s="4">
        <v>1</v>
      </c>
      <c r="AC285" s="4">
        <v>2</v>
      </c>
      <c r="AD285" s="4">
        <v>1</v>
      </c>
      <c r="AE285" s="4">
        <v>6</v>
      </c>
      <c r="AF285" s="4">
        <v>0</v>
      </c>
      <c r="AG285" s="4">
        <v>1</v>
      </c>
      <c r="AH285" s="4">
        <v>1</v>
      </c>
      <c r="AI285" s="4">
        <v>2</v>
      </c>
      <c r="AJ285" s="4">
        <v>0</v>
      </c>
      <c r="AK285" s="4">
        <v>2</v>
      </c>
      <c r="AL285" s="4">
        <v>0</v>
      </c>
      <c r="AM285" s="4">
        <v>1</v>
      </c>
      <c r="AN285" s="4">
        <v>0</v>
      </c>
      <c r="AO285" s="4">
        <v>0</v>
      </c>
      <c r="AP285" s="3" t="s">
        <v>59</v>
      </c>
      <c r="AQ285" s="3" t="s">
        <v>61</v>
      </c>
      <c r="AR285" s="6" t="str">
        <f t="shared" si="6"/>
        <v>HathiTrust Record</v>
      </c>
      <c r="AS285" s="6" t="str">
        <f t="shared" si="7"/>
        <v>Catalog Record</v>
      </c>
      <c r="AT285" s="6" t="str">
        <f t="shared" si="8"/>
        <v>WorldCat Record</v>
      </c>
      <c r="AU285" s="3" t="s">
        <v>3535</v>
      </c>
      <c r="AV285" s="3" t="s">
        <v>3536</v>
      </c>
      <c r="AW285" s="3" t="s">
        <v>3537</v>
      </c>
      <c r="AX285" s="3" t="s">
        <v>3537</v>
      </c>
      <c r="AY285" s="3" t="s">
        <v>3538</v>
      </c>
      <c r="AZ285" s="3" t="s">
        <v>75</v>
      </c>
      <c r="BC285" s="3" t="s">
        <v>3541</v>
      </c>
      <c r="BD285" s="3" t="s">
        <v>3542</v>
      </c>
    </row>
    <row r="286" spans="1:56" ht="44.25" customHeight="1" x14ac:dyDescent="0.25">
      <c r="A286" s="7" t="s">
        <v>61</v>
      </c>
      <c r="B286" s="2" t="s">
        <v>3526</v>
      </c>
      <c r="C286" s="2" t="s">
        <v>3527</v>
      </c>
      <c r="D286" s="2" t="s">
        <v>3528</v>
      </c>
      <c r="E286" s="3" t="s">
        <v>3543</v>
      </c>
      <c r="F286" s="3" t="s">
        <v>59</v>
      </c>
      <c r="G286" s="3" t="s">
        <v>60</v>
      </c>
      <c r="H286" s="3" t="s">
        <v>61</v>
      </c>
      <c r="I286" s="3" t="s">
        <v>61</v>
      </c>
      <c r="J286" s="3" t="s">
        <v>62</v>
      </c>
      <c r="K286" s="2" t="s">
        <v>3529</v>
      </c>
      <c r="L286" s="2" t="s">
        <v>3530</v>
      </c>
      <c r="M286" s="3" t="s">
        <v>3531</v>
      </c>
      <c r="N286" s="2" t="s">
        <v>3532</v>
      </c>
      <c r="O286" s="3" t="s">
        <v>114</v>
      </c>
      <c r="P286" s="3" t="s">
        <v>437</v>
      </c>
      <c r="Q286" s="2" t="s">
        <v>3533</v>
      </c>
      <c r="R286" s="3" t="s">
        <v>68</v>
      </c>
      <c r="S286" s="4">
        <v>0</v>
      </c>
      <c r="T286" s="4">
        <v>3</v>
      </c>
      <c r="V286" s="5" t="s">
        <v>3534</v>
      </c>
      <c r="W286" s="5" t="s">
        <v>2491</v>
      </c>
      <c r="X286" s="5" t="s">
        <v>2491</v>
      </c>
      <c r="Y286" s="4">
        <v>68</v>
      </c>
      <c r="Z286" s="4">
        <v>65</v>
      </c>
      <c r="AA286" s="4">
        <v>142</v>
      </c>
      <c r="AB286" s="4">
        <v>1</v>
      </c>
      <c r="AC286" s="4">
        <v>2</v>
      </c>
      <c r="AD286" s="4">
        <v>1</v>
      </c>
      <c r="AE286" s="4">
        <v>6</v>
      </c>
      <c r="AF286" s="4">
        <v>0</v>
      </c>
      <c r="AG286" s="4">
        <v>1</v>
      </c>
      <c r="AH286" s="4">
        <v>1</v>
      </c>
      <c r="AI286" s="4">
        <v>2</v>
      </c>
      <c r="AJ286" s="4">
        <v>0</v>
      </c>
      <c r="AK286" s="4">
        <v>2</v>
      </c>
      <c r="AL286" s="4">
        <v>0</v>
      </c>
      <c r="AM286" s="4">
        <v>1</v>
      </c>
      <c r="AN286" s="4">
        <v>0</v>
      </c>
      <c r="AO286" s="4">
        <v>0</v>
      </c>
      <c r="AP286" s="3" t="s">
        <v>59</v>
      </c>
      <c r="AQ286" s="3" t="s">
        <v>61</v>
      </c>
      <c r="AR286" s="6" t="str">
        <f t="shared" si="6"/>
        <v>HathiTrust Record</v>
      </c>
      <c r="AS286" s="6" t="str">
        <f t="shared" si="7"/>
        <v>Catalog Record</v>
      </c>
      <c r="AT286" s="6" t="str">
        <f t="shared" si="8"/>
        <v>WorldCat Record</v>
      </c>
      <c r="AU286" s="3" t="s">
        <v>3535</v>
      </c>
      <c r="AV286" s="3" t="s">
        <v>3536</v>
      </c>
      <c r="AW286" s="3" t="s">
        <v>3537</v>
      </c>
      <c r="AX286" s="3" t="s">
        <v>3537</v>
      </c>
      <c r="AY286" s="3" t="s">
        <v>3538</v>
      </c>
      <c r="AZ286" s="3" t="s">
        <v>75</v>
      </c>
      <c r="BC286" s="3" t="s">
        <v>3544</v>
      </c>
      <c r="BD286" s="3" t="s">
        <v>3545</v>
      </c>
    </row>
    <row r="287" spans="1:56" ht="44.25" customHeight="1" x14ac:dyDescent="0.25">
      <c r="A287" s="7" t="s">
        <v>61</v>
      </c>
      <c r="B287" s="2" t="s">
        <v>3526</v>
      </c>
      <c r="C287" s="2" t="s">
        <v>3527</v>
      </c>
      <c r="D287" s="2" t="s">
        <v>3528</v>
      </c>
      <c r="E287" s="3" t="s">
        <v>141</v>
      </c>
      <c r="F287" s="3" t="s">
        <v>59</v>
      </c>
      <c r="G287" s="3" t="s">
        <v>60</v>
      </c>
      <c r="H287" s="3" t="s">
        <v>61</v>
      </c>
      <c r="I287" s="3" t="s">
        <v>61</v>
      </c>
      <c r="J287" s="3" t="s">
        <v>62</v>
      </c>
      <c r="K287" s="2" t="s">
        <v>3529</v>
      </c>
      <c r="L287" s="2" t="s">
        <v>3530</v>
      </c>
      <c r="M287" s="3" t="s">
        <v>3531</v>
      </c>
      <c r="N287" s="2" t="s">
        <v>3532</v>
      </c>
      <c r="O287" s="3" t="s">
        <v>114</v>
      </c>
      <c r="P287" s="3" t="s">
        <v>437</v>
      </c>
      <c r="Q287" s="2" t="s">
        <v>3533</v>
      </c>
      <c r="R287" s="3" t="s">
        <v>68</v>
      </c>
      <c r="S287" s="4">
        <v>0</v>
      </c>
      <c r="T287" s="4">
        <v>3</v>
      </c>
      <c r="V287" s="5" t="s">
        <v>3534</v>
      </c>
      <c r="W287" s="5" t="s">
        <v>2491</v>
      </c>
      <c r="X287" s="5" t="s">
        <v>2491</v>
      </c>
      <c r="Y287" s="4">
        <v>68</v>
      </c>
      <c r="Z287" s="4">
        <v>65</v>
      </c>
      <c r="AA287" s="4">
        <v>142</v>
      </c>
      <c r="AB287" s="4">
        <v>1</v>
      </c>
      <c r="AC287" s="4">
        <v>2</v>
      </c>
      <c r="AD287" s="4">
        <v>1</v>
      </c>
      <c r="AE287" s="4">
        <v>6</v>
      </c>
      <c r="AF287" s="4">
        <v>0</v>
      </c>
      <c r="AG287" s="4">
        <v>1</v>
      </c>
      <c r="AH287" s="4">
        <v>1</v>
      </c>
      <c r="AI287" s="4">
        <v>2</v>
      </c>
      <c r="AJ287" s="4">
        <v>0</v>
      </c>
      <c r="AK287" s="4">
        <v>2</v>
      </c>
      <c r="AL287" s="4">
        <v>0</v>
      </c>
      <c r="AM287" s="4">
        <v>1</v>
      </c>
      <c r="AN287" s="4">
        <v>0</v>
      </c>
      <c r="AO287" s="4">
        <v>0</v>
      </c>
      <c r="AP287" s="3" t="s">
        <v>59</v>
      </c>
      <c r="AQ287" s="3" t="s">
        <v>61</v>
      </c>
      <c r="AR287" s="6" t="str">
        <f t="shared" si="6"/>
        <v>HathiTrust Record</v>
      </c>
      <c r="AS287" s="6" t="str">
        <f t="shared" si="7"/>
        <v>Catalog Record</v>
      </c>
      <c r="AT287" s="6" t="str">
        <f t="shared" si="8"/>
        <v>WorldCat Record</v>
      </c>
      <c r="AU287" s="3" t="s">
        <v>3535</v>
      </c>
      <c r="AV287" s="3" t="s">
        <v>3536</v>
      </c>
      <c r="AW287" s="3" t="s">
        <v>3537</v>
      </c>
      <c r="AX287" s="3" t="s">
        <v>3537</v>
      </c>
      <c r="AY287" s="3" t="s">
        <v>3538</v>
      </c>
      <c r="AZ287" s="3" t="s">
        <v>75</v>
      </c>
      <c r="BC287" s="3" t="s">
        <v>3546</v>
      </c>
      <c r="BD287" s="3" t="s">
        <v>3547</v>
      </c>
    </row>
    <row r="288" spans="1:56" ht="44.25" customHeight="1" x14ac:dyDescent="0.25">
      <c r="A288" s="7" t="s">
        <v>61</v>
      </c>
      <c r="B288" s="2" t="s">
        <v>3526</v>
      </c>
      <c r="C288" s="2" t="s">
        <v>3527</v>
      </c>
      <c r="D288" s="2" t="s">
        <v>3528</v>
      </c>
      <c r="E288" s="3" t="s">
        <v>3548</v>
      </c>
      <c r="F288" s="3" t="s">
        <v>59</v>
      </c>
      <c r="G288" s="3" t="s">
        <v>60</v>
      </c>
      <c r="H288" s="3" t="s">
        <v>61</v>
      </c>
      <c r="I288" s="3" t="s">
        <v>61</v>
      </c>
      <c r="J288" s="3" t="s">
        <v>62</v>
      </c>
      <c r="K288" s="2" t="s">
        <v>3529</v>
      </c>
      <c r="L288" s="2" t="s">
        <v>3530</v>
      </c>
      <c r="M288" s="3" t="s">
        <v>3531</v>
      </c>
      <c r="N288" s="2" t="s">
        <v>3532</v>
      </c>
      <c r="O288" s="3" t="s">
        <v>114</v>
      </c>
      <c r="P288" s="3" t="s">
        <v>437</v>
      </c>
      <c r="Q288" s="2" t="s">
        <v>3533</v>
      </c>
      <c r="R288" s="3" t="s">
        <v>68</v>
      </c>
      <c r="S288" s="4">
        <v>0</v>
      </c>
      <c r="T288" s="4">
        <v>3</v>
      </c>
      <c r="V288" s="5" t="s">
        <v>3534</v>
      </c>
      <c r="W288" s="5" t="s">
        <v>2491</v>
      </c>
      <c r="X288" s="5" t="s">
        <v>2491</v>
      </c>
      <c r="Y288" s="4">
        <v>68</v>
      </c>
      <c r="Z288" s="4">
        <v>65</v>
      </c>
      <c r="AA288" s="4">
        <v>142</v>
      </c>
      <c r="AB288" s="4">
        <v>1</v>
      </c>
      <c r="AC288" s="4">
        <v>2</v>
      </c>
      <c r="AD288" s="4">
        <v>1</v>
      </c>
      <c r="AE288" s="4">
        <v>6</v>
      </c>
      <c r="AF288" s="4">
        <v>0</v>
      </c>
      <c r="AG288" s="4">
        <v>1</v>
      </c>
      <c r="AH288" s="4">
        <v>1</v>
      </c>
      <c r="AI288" s="4">
        <v>2</v>
      </c>
      <c r="AJ288" s="4">
        <v>0</v>
      </c>
      <c r="AK288" s="4">
        <v>2</v>
      </c>
      <c r="AL288" s="4">
        <v>0</v>
      </c>
      <c r="AM288" s="4">
        <v>1</v>
      </c>
      <c r="AN288" s="4">
        <v>0</v>
      </c>
      <c r="AO288" s="4">
        <v>0</v>
      </c>
      <c r="AP288" s="3" t="s">
        <v>59</v>
      </c>
      <c r="AQ288" s="3" t="s">
        <v>61</v>
      </c>
      <c r="AR288" s="6" t="str">
        <f t="shared" si="6"/>
        <v>HathiTrust Record</v>
      </c>
      <c r="AS288" s="6" t="str">
        <f t="shared" si="7"/>
        <v>Catalog Record</v>
      </c>
      <c r="AT288" s="6" t="str">
        <f t="shared" si="8"/>
        <v>WorldCat Record</v>
      </c>
      <c r="AU288" s="3" t="s">
        <v>3535</v>
      </c>
      <c r="AV288" s="3" t="s">
        <v>3536</v>
      </c>
      <c r="AW288" s="3" t="s">
        <v>3537</v>
      </c>
      <c r="AX288" s="3" t="s">
        <v>3537</v>
      </c>
      <c r="AY288" s="3" t="s">
        <v>3538</v>
      </c>
      <c r="AZ288" s="3" t="s">
        <v>75</v>
      </c>
      <c r="BC288" s="3" t="s">
        <v>3549</v>
      </c>
      <c r="BD288" s="3" t="s">
        <v>3550</v>
      </c>
    </row>
    <row r="289" spans="1:56" ht="44.25" customHeight="1" x14ac:dyDescent="0.25">
      <c r="A289" s="7" t="s">
        <v>61</v>
      </c>
      <c r="B289" s="2" t="s">
        <v>3526</v>
      </c>
      <c r="C289" s="2" t="s">
        <v>3527</v>
      </c>
      <c r="D289" s="2" t="s">
        <v>3528</v>
      </c>
      <c r="E289" s="3" t="s">
        <v>105</v>
      </c>
      <c r="F289" s="3" t="s">
        <v>59</v>
      </c>
      <c r="G289" s="3" t="s">
        <v>60</v>
      </c>
      <c r="H289" s="3" t="s">
        <v>61</v>
      </c>
      <c r="I289" s="3" t="s">
        <v>61</v>
      </c>
      <c r="J289" s="3" t="s">
        <v>62</v>
      </c>
      <c r="K289" s="2" t="s">
        <v>3529</v>
      </c>
      <c r="L289" s="2" t="s">
        <v>3530</v>
      </c>
      <c r="M289" s="3" t="s">
        <v>3531</v>
      </c>
      <c r="N289" s="2" t="s">
        <v>3532</v>
      </c>
      <c r="O289" s="3" t="s">
        <v>114</v>
      </c>
      <c r="P289" s="3" t="s">
        <v>437</v>
      </c>
      <c r="Q289" s="2" t="s">
        <v>3533</v>
      </c>
      <c r="R289" s="3" t="s">
        <v>68</v>
      </c>
      <c r="S289" s="4">
        <v>0</v>
      </c>
      <c r="T289" s="4">
        <v>3</v>
      </c>
      <c r="V289" s="5" t="s">
        <v>3534</v>
      </c>
      <c r="W289" s="5" t="s">
        <v>2491</v>
      </c>
      <c r="X289" s="5" t="s">
        <v>2491</v>
      </c>
      <c r="Y289" s="4">
        <v>68</v>
      </c>
      <c r="Z289" s="4">
        <v>65</v>
      </c>
      <c r="AA289" s="4">
        <v>142</v>
      </c>
      <c r="AB289" s="4">
        <v>1</v>
      </c>
      <c r="AC289" s="4">
        <v>2</v>
      </c>
      <c r="AD289" s="4">
        <v>1</v>
      </c>
      <c r="AE289" s="4">
        <v>6</v>
      </c>
      <c r="AF289" s="4">
        <v>0</v>
      </c>
      <c r="AG289" s="4">
        <v>1</v>
      </c>
      <c r="AH289" s="4">
        <v>1</v>
      </c>
      <c r="AI289" s="4">
        <v>2</v>
      </c>
      <c r="AJ289" s="4">
        <v>0</v>
      </c>
      <c r="AK289" s="4">
        <v>2</v>
      </c>
      <c r="AL289" s="4">
        <v>0</v>
      </c>
      <c r="AM289" s="4">
        <v>1</v>
      </c>
      <c r="AN289" s="4">
        <v>0</v>
      </c>
      <c r="AO289" s="4">
        <v>0</v>
      </c>
      <c r="AP289" s="3" t="s">
        <v>59</v>
      </c>
      <c r="AQ289" s="3" t="s">
        <v>61</v>
      </c>
      <c r="AR289" s="6" t="str">
        <f t="shared" si="6"/>
        <v>HathiTrust Record</v>
      </c>
      <c r="AS289" s="6" t="str">
        <f t="shared" si="7"/>
        <v>Catalog Record</v>
      </c>
      <c r="AT289" s="6" t="str">
        <f t="shared" si="8"/>
        <v>WorldCat Record</v>
      </c>
      <c r="AU289" s="3" t="s">
        <v>3535</v>
      </c>
      <c r="AV289" s="3" t="s">
        <v>3536</v>
      </c>
      <c r="AW289" s="3" t="s">
        <v>3537</v>
      </c>
      <c r="AX289" s="3" t="s">
        <v>3537</v>
      </c>
      <c r="AY289" s="3" t="s">
        <v>3538</v>
      </c>
      <c r="AZ289" s="3" t="s">
        <v>75</v>
      </c>
      <c r="BC289" s="3" t="s">
        <v>3551</v>
      </c>
      <c r="BD289" s="3" t="s">
        <v>3552</v>
      </c>
    </row>
    <row r="290" spans="1:56" ht="44.25" customHeight="1" x14ac:dyDescent="0.25">
      <c r="A290" s="7" t="s">
        <v>61</v>
      </c>
      <c r="B290" s="2" t="s">
        <v>3526</v>
      </c>
      <c r="C290" s="2" t="s">
        <v>3527</v>
      </c>
      <c r="D290" s="2" t="s">
        <v>3528</v>
      </c>
      <c r="E290" s="3" t="s">
        <v>78</v>
      </c>
      <c r="F290" s="3" t="s">
        <v>59</v>
      </c>
      <c r="G290" s="3" t="s">
        <v>60</v>
      </c>
      <c r="H290" s="3" t="s">
        <v>61</v>
      </c>
      <c r="I290" s="3" t="s">
        <v>61</v>
      </c>
      <c r="J290" s="3" t="s">
        <v>62</v>
      </c>
      <c r="K290" s="2" t="s">
        <v>3529</v>
      </c>
      <c r="L290" s="2" t="s">
        <v>3530</v>
      </c>
      <c r="M290" s="3" t="s">
        <v>3531</v>
      </c>
      <c r="N290" s="2" t="s">
        <v>3532</v>
      </c>
      <c r="O290" s="3" t="s">
        <v>114</v>
      </c>
      <c r="P290" s="3" t="s">
        <v>437</v>
      </c>
      <c r="Q290" s="2" t="s">
        <v>3533</v>
      </c>
      <c r="R290" s="3" t="s">
        <v>68</v>
      </c>
      <c r="S290" s="4">
        <v>0</v>
      </c>
      <c r="T290" s="4">
        <v>3</v>
      </c>
      <c r="V290" s="5" t="s">
        <v>3534</v>
      </c>
      <c r="W290" s="5" t="s">
        <v>2491</v>
      </c>
      <c r="X290" s="5" t="s">
        <v>2491</v>
      </c>
      <c r="Y290" s="4">
        <v>68</v>
      </c>
      <c r="Z290" s="4">
        <v>65</v>
      </c>
      <c r="AA290" s="4">
        <v>142</v>
      </c>
      <c r="AB290" s="4">
        <v>1</v>
      </c>
      <c r="AC290" s="4">
        <v>2</v>
      </c>
      <c r="AD290" s="4">
        <v>1</v>
      </c>
      <c r="AE290" s="4">
        <v>6</v>
      </c>
      <c r="AF290" s="4">
        <v>0</v>
      </c>
      <c r="AG290" s="4">
        <v>1</v>
      </c>
      <c r="AH290" s="4">
        <v>1</v>
      </c>
      <c r="AI290" s="4">
        <v>2</v>
      </c>
      <c r="AJ290" s="4">
        <v>0</v>
      </c>
      <c r="AK290" s="4">
        <v>2</v>
      </c>
      <c r="AL290" s="4">
        <v>0</v>
      </c>
      <c r="AM290" s="4">
        <v>1</v>
      </c>
      <c r="AN290" s="4">
        <v>0</v>
      </c>
      <c r="AO290" s="4">
        <v>0</v>
      </c>
      <c r="AP290" s="3" t="s">
        <v>59</v>
      </c>
      <c r="AQ290" s="3" t="s">
        <v>61</v>
      </c>
      <c r="AR290" s="6" t="str">
        <f t="shared" si="6"/>
        <v>HathiTrust Record</v>
      </c>
      <c r="AS290" s="6" t="str">
        <f t="shared" si="7"/>
        <v>Catalog Record</v>
      </c>
      <c r="AT290" s="6" t="str">
        <f t="shared" si="8"/>
        <v>WorldCat Record</v>
      </c>
      <c r="AU290" s="3" t="s">
        <v>3535</v>
      </c>
      <c r="AV290" s="3" t="s">
        <v>3536</v>
      </c>
      <c r="AW290" s="3" t="s">
        <v>3537</v>
      </c>
      <c r="AX290" s="3" t="s">
        <v>3537</v>
      </c>
      <c r="AY290" s="3" t="s">
        <v>3538</v>
      </c>
      <c r="AZ290" s="3" t="s">
        <v>75</v>
      </c>
      <c r="BC290" s="3" t="s">
        <v>3553</v>
      </c>
      <c r="BD290" s="3" t="s">
        <v>3554</v>
      </c>
    </row>
    <row r="291" spans="1:56" ht="44.25" customHeight="1" x14ac:dyDescent="0.25">
      <c r="A291" s="7" t="s">
        <v>61</v>
      </c>
      <c r="B291" s="2" t="s">
        <v>3526</v>
      </c>
      <c r="C291" s="2" t="s">
        <v>3527</v>
      </c>
      <c r="D291" s="2" t="s">
        <v>3528</v>
      </c>
      <c r="E291" s="3" t="s">
        <v>3555</v>
      </c>
      <c r="F291" s="3" t="s">
        <v>59</v>
      </c>
      <c r="G291" s="3" t="s">
        <v>60</v>
      </c>
      <c r="H291" s="3" t="s">
        <v>61</v>
      </c>
      <c r="I291" s="3" t="s">
        <v>61</v>
      </c>
      <c r="J291" s="3" t="s">
        <v>62</v>
      </c>
      <c r="K291" s="2" t="s">
        <v>3529</v>
      </c>
      <c r="L291" s="2" t="s">
        <v>3530</v>
      </c>
      <c r="M291" s="3" t="s">
        <v>3531</v>
      </c>
      <c r="N291" s="2" t="s">
        <v>3532</v>
      </c>
      <c r="O291" s="3" t="s">
        <v>114</v>
      </c>
      <c r="P291" s="3" t="s">
        <v>437</v>
      </c>
      <c r="Q291" s="2" t="s">
        <v>3533</v>
      </c>
      <c r="R291" s="3" t="s">
        <v>68</v>
      </c>
      <c r="S291" s="4">
        <v>0</v>
      </c>
      <c r="T291" s="4">
        <v>3</v>
      </c>
      <c r="V291" s="5" t="s">
        <v>3534</v>
      </c>
      <c r="W291" s="5" t="s">
        <v>2491</v>
      </c>
      <c r="X291" s="5" t="s">
        <v>2491</v>
      </c>
      <c r="Y291" s="4">
        <v>68</v>
      </c>
      <c r="Z291" s="4">
        <v>65</v>
      </c>
      <c r="AA291" s="4">
        <v>142</v>
      </c>
      <c r="AB291" s="4">
        <v>1</v>
      </c>
      <c r="AC291" s="4">
        <v>2</v>
      </c>
      <c r="AD291" s="4">
        <v>1</v>
      </c>
      <c r="AE291" s="4">
        <v>6</v>
      </c>
      <c r="AF291" s="4">
        <v>0</v>
      </c>
      <c r="AG291" s="4">
        <v>1</v>
      </c>
      <c r="AH291" s="4">
        <v>1</v>
      </c>
      <c r="AI291" s="4">
        <v>2</v>
      </c>
      <c r="AJ291" s="4">
        <v>0</v>
      </c>
      <c r="AK291" s="4">
        <v>2</v>
      </c>
      <c r="AL291" s="4">
        <v>0</v>
      </c>
      <c r="AM291" s="4">
        <v>1</v>
      </c>
      <c r="AN291" s="4">
        <v>0</v>
      </c>
      <c r="AO291" s="4">
        <v>0</v>
      </c>
      <c r="AP291" s="3" t="s">
        <v>59</v>
      </c>
      <c r="AQ291" s="3" t="s">
        <v>61</v>
      </c>
      <c r="AR291" s="6" t="str">
        <f t="shared" si="6"/>
        <v>HathiTrust Record</v>
      </c>
      <c r="AS291" s="6" t="str">
        <f t="shared" si="7"/>
        <v>Catalog Record</v>
      </c>
      <c r="AT291" s="6" t="str">
        <f t="shared" si="8"/>
        <v>WorldCat Record</v>
      </c>
      <c r="AU291" s="3" t="s">
        <v>3535</v>
      </c>
      <c r="AV291" s="3" t="s">
        <v>3536</v>
      </c>
      <c r="AW291" s="3" t="s">
        <v>3537</v>
      </c>
      <c r="AX291" s="3" t="s">
        <v>3537</v>
      </c>
      <c r="AY291" s="3" t="s">
        <v>3538</v>
      </c>
      <c r="AZ291" s="3" t="s">
        <v>75</v>
      </c>
      <c r="BC291" s="3" t="s">
        <v>3556</v>
      </c>
      <c r="BD291" s="3" t="s">
        <v>3557</v>
      </c>
    </row>
    <row r="292" spans="1:56" ht="44.25" customHeight="1" x14ac:dyDescent="0.25">
      <c r="A292" s="7" t="s">
        <v>61</v>
      </c>
      <c r="B292" s="2" t="s">
        <v>3526</v>
      </c>
      <c r="C292" s="2" t="s">
        <v>3527</v>
      </c>
      <c r="D292" s="2" t="s">
        <v>3528</v>
      </c>
      <c r="E292" s="3" t="s">
        <v>93</v>
      </c>
      <c r="F292" s="3" t="s">
        <v>59</v>
      </c>
      <c r="G292" s="3" t="s">
        <v>60</v>
      </c>
      <c r="H292" s="3" t="s">
        <v>61</v>
      </c>
      <c r="I292" s="3" t="s">
        <v>61</v>
      </c>
      <c r="J292" s="3" t="s">
        <v>62</v>
      </c>
      <c r="K292" s="2" t="s">
        <v>3529</v>
      </c>
      <c r="L292" s="2" t="s">
        <v>3530</v>
      </c>
      <c r="M292" s="3" t="s">
        <v>3531</v>
      </c>
      <c r="N292" s="2" t="s">
        <v>3532</v>
      </c>
      <c r="O292" s="3" t="s">
        <v>114</v>
      </c>
      <c r="P292" s="3" t="s">
        <v>437</v>
      </c>
      <c r="Q292" s="2" t="s">
        <v>3533</v>
      </c>
      <c r="R292" s="3" t="s">
        <v>68</v>
      </c>
      <c r="S292" s="4">
        <v>0</v>
      </c>
      <c r="T292" s="4">
        <v>3</v>
      </c>
      <c r="V292" s="5" t="s">
        <v>3534</v>
      </c>
      <c r="W292" s="5" t="s">
        <v>2491</v>
      </c>
      <c r="X292" s="5" t="s">
        <v>2491</v>
      </c>
      <c r="Y292" s="4">
        <v>68</v>
      </c>
      <c r="Z292" s="4">
        <v>65</v>
      </c>
      <c r="AA292" s="4">
        <v>142</v>
      </c>
      <c r="AB292" s="4">
        <v>1</v>
      </c>
      <c r="AC292" s="4">
        <v>2</v>
      </c>
      <c r="AD292" s="4">
        <v>1</v>
      </c>
      <c r="AE292" s="4">
        <v>6</v>
      </c>
      <c r="AF292" s="4">
        <v>0</v>
      </c>
      <c r="AG292" s="4">
        <v>1</v>
      </c>
      <c r="AH292" s="4">
        <v>1</v>
      </c>
      <c r="AI292" s="4">
        <v>2</v>
      </c>
      <c r="AJ292" s="4">
        <v>0</v>
      </c>
      <c r="AK292" s="4">
        <v>2</v>
      </c>
      <c r="AL292" s="4">
        <v>0</v>
      </c>
      <c r="AM292" s="4">
        <v>1</v>
      </c>
      <c r="AN292" s="4">
        <v>0</v>
      </c>
      <c r="AO292" s="4">
        <v>0</v>
      </c>
      <c r="AP292" s="3" t="s">
        <v>59</v>
      </c>
      <c r="AQ292" s="3" t="s">
        <v>61</v>
      </c>
      <c r="AR292" s="6" t="str">
        <f t="shared" si="6"/>
        <v>HathiTrust Record</v>
      </c>
      <c r="AS292" s="6" t="str">
        <f t="shared" si="7"/>
        <v>Catalog Record</v>
      </c>
      <c r="AT292" s="6" t="str">
        <f t="shared" si="8"/>
        <v>WorldCat Record</v>
      </c>
      <c r="AU292" s="3" t="s">
        <v>3535</v>
      </c>
      <c r="AV292" s="3" t="s">
        <v>3536</v>
      </c>
      <c r="AW292" s="3" t="s">
        <v>3537</v>
      </c>
      <c r="AX292" s="3" t="s">
        <v>3537</v>
      </c>
      <c r="AY292" s="3" t="s">
        <v>3538</v>
      </c>
      <c r="AZ292" s="3" t="s">
        <v>75</v>
      </c>
      <c r="BC292" s="3" t="s">
        <v>3558</v>
      </c>
      <c r="BD292" s="3" t="s">
        <v>3559</v>
      </c>
    </row>
    <row r="293" spans="1:56" ht="44.25" customHeight="1" x14ac:dyDescent="0.25">
      <c r="A293" s="7" t="s">
        <v>61</v>
      </c>
      <c r="B293" s="2" t="s">
        <v>3526</v>
      </c>
      <c r="C293" s="2" t="s">
        <v>3527</v>
      </c>
      <c r="D293" s="2" t="s">
        <v>3528</v>
      </c>
      <c r="E293" s="3" t="s">
        <v>84</v>
      </c>
      <c r="F293" s="3" t="s">
        <v>59</v>
      </c>
      <c r="G293" s="3" t="s">
        <v>60</v>
      </c>
      <c r="H293" s="3" t="s">
        <v>61</v>
      </c>
      <c r="I293" s="3" t="s">
        <v>61</v>
      </c>
      <c r="J293" s="3" t="s">
        <v>62</v>
      </c>
      <c r="K293" s="2" t="s">
        <v>3529</v>
      </c>
      <c r="L293" s="2" t="s">
        <v>3530</v>
      </c>
      <c r="M293" s="3" t="s">
        <v>3531</v>
      </c>
      <c r="N293" s="2" t="s">
        <v>3532</v>
      </c>
      <c r="O293" s="3" t="s">
        <v>114</v>
      </c>
      <c r="P293" s="3" t="s">
        <v>437</v>
      </c>
      <c r="Q293" s="2" t="s">
        <v>3533</v>
      </c>
      <c r="R293" s="3" t="s">
        <v>68</v>
      </c>
      <c r="S293" s="4">
        <v>0</v>
      </c>
      <c r="T293" s="4">
        <v>3</v>
      </c>
      <c r="V293" s="5" t="s">
        <v>3534</v>
      </c>
      <c r="W293" s="5" t="s">
        <v>2491</v>
      </c>
      <c r="X293" s="5" t="s">
        <v>2491</v>
      </c>
      <c r="Y293" s="4">
        <v>68</v>
      </c>
      <c r="Z293" s="4">
        <v>65</v>
      </c>
      <c r="AA293" s="4">
        <v>142</v>
      </c>
      <c r="AB293" s="4">
        <v>1</v>
      </c>
      <c r="AC293" s="4">
        <v>2</v>
      </c>
      <c r="AD293" s="4">
        <v>1</v>
      </c>
      <c r="AE293" s="4">
        <v>6</v>
      </c>
      <c r="AF293" s="4">
        <v>0</v>
      </c>
      <c r="AG293" s="4">
        <v>1</v>
      </c>
      <c r="AH293" s="4">
        <v>1</v>
      </c>
      <c r="AI293" s="4">
        <v>2</v>
      </c>
      <c r="AJ293" s="4">
        <v>0</v>
      </c>
      <c r="AK293" s="4">
        <v>2</v>
      </c>
      <c r="AL293" s="4">
        <v>0</v>
      </c>
      <c r="AM293" s="4">
        <v>1</v>
      </c>
      <c r="AN293" s="4">
        <v>0</v>
      </c>
      <c r="AO293" s="4">
        <v>0</v>
      </c>
      <c r="AP293" s="3" t="s">
        <v>59</v>
      </c>
      <c r="AQ293" s="3" t="s">
        <v>61</v>
      </c>
      <c r="AR293" s="6" t="str">
        <f t="shared" si="6"/>
        <v>HathiTrust Record</v>
      </c>
      <c r="AS293" s="6" t="str">
        <f t="shared" si="7"/>
        <v>Catalog Record</v>
      </c>
      <c r="AT293" s="6" t="str">
        <f t="shared" si="8"/>
        <v>WorldCat Record</v>
      </c>
      <c r="AU293" s="3" t="s">
        <v>3535</v>
      </c>
      <c r="AV293" s="3" t="s">
        <v>3536</v>
      </c>
      <c r="AW293" s="3" t="s">
        <v>3537</v>
      </c>
      <c r="AX293" s="3" t="s">
        <v>3537</v>
      </c>
      <c r="AY293" s="3" t="s">
        <v>3538</v>
      </c>
      <c r="AZ293" s="3" t="s">
        <v>75</v>
      </c>
      <c r="BC293" s="3" t="s">
        <v>3560</v>
      </c>
      <c r="BD293" s="3" t="s">
        <v>3561</v>
      </c>
    </row>
    <row r="294" spans="1:56" ht="44.25" customHeight="1" x14ac:dyDescent="0.25">
      <c r="A294" s="7" t="s">
        <v>61</v>
      </c>
      <c r="B294" s="2" t="s">
        <v>3526</v>
      </c>
      <c r="C294" s="2" t="s">
        <v>3527</v>
      </c>
      <c r="D294" s="2" t="s">
        <v>3528</v>
      </c>
      <c r="E294" s="3" t="s">
        <v>81</v>
      </c>
      <c r="F294" s="3" t="s">
        <v>59</v>
      </c>
      <c r="G294" s="3" t="s">
        <v>60</v>
      </c>
      <c r="H294" s="3" t="s">
        <v>61</v>
      </c>
      <c r="I294" s="3" t="s">
        <v>61</v>
      </c>
      <c r="J294" s="3" t="s">
        <v>62</v>
      </c>
      <c r="K294" s="2" t="s">
        <v>3529</v>
      </c>
      <c r="L294" s="2" t="s">
        <v>3530</v>
      </c>
      <c r="M294" s="3" t="s">
        <v>3531</v>
      </c>
      <c r="N294" s="2" t="s">
        <v>3532</v>
      </c>
      <c r="O294" s="3" t="s">
        <v>114</v>
      </c>
      <c r="P294" s="3" t="s">
        <v>437</v>
      </c>
      <c r="Q294" s="2" t="s">
        <v>3533</v>
      </c>
      <c r="R294" s="3" t="s">
        <v>68</v>
      </c>
      <c r="S294" s="4">
        <v>0</v>
      </c>
      <c r="T294" s="4">
        <v>3</v>
      </c>
      <c r="V294" s="5" t="s">
        <v>3534</v>
      </c>
      <c r="W294" s="5" t="s">
        <v>2491</v>
      </c>
      <c r="X294" s="5" t="s">
        <v>2491</v>
      </c>
      <c r="Y294" s="4">
        <v>68</v>
      </c>
      <c r="Z294" s="4">
        <v>65</v>
      </c>
      <c r="AA294" s="4">
        <v>142</v>
      </c>
      <c r="AB294" s="4">
        <v>1</v>
      </c>
      <c r="AC294" s="4">
        <v>2</v>
      </c>
      <c r="AD294" s="4">
        <v>1</v>
      </c>
      <c r="AE294" s="4">
        <v>6</v>
      </c>
      <c r="AF294" s="4">
        <v>0</v>
      </c>
      <c r="AG294" s="4">
        <v>1</v>
      </c>
      <c r="AH294" s="4">
        <v>1</v>
      </c>
      <c r="AI294" s="4">
        <v>2</v>
      </c>
      <c r="AJ294" s="4">
        <v>0</v>
      </c>
      <c r="AK294" s="4">
        <v>2</v>
      </c>
      <c r="AL294" s="4">
        <v>0</v>
      </c>
      <c r="AM294" s="4">
        <v>1</v>
      </c>
      <c r="AN294" s="4">
        <v>0</v>
      </c>
      <c r="AO294" s="4">
        <v>0</v>
      </c>
      <c r="AP294" s="3" t="s">
        <v>59</v>
      </c>
      <c r="AQ294" s="3" t="s">
        <v>61</v>
      </c>
      <c r="AR294" s="6" t="str">
        <f t="shared" si="6"/>
        <v>HathiTrust Record</v>
      </c>
      <c r="AS294" s="6" t="str">
        <f t="shared" si="7"/>
        <v>Catalog Record</v>
      </c>
      <c r="AT294" s="6" t="str">
        <f t="shared" si="8"/>
        <v>WorldCat Record</v>
      </c>
      <c r="AU294" s="3" t="s">
        <v>3535</v>
      </c>
      <c r="AV294" s="3" t="s">
        <v>3536</v>
      </c>
      <c r="AW294" s="3" t="s">
        <v>3537</v>
      </c>
      <c r="AX294" s="3" t="s">
        <v>3537</v>
      </c>
      <c r="AY294" s="3" t="s">
        <v>3538</v>
      </c>
      <c r="AZ294" s="3" t="s">
        <v>75</v>
      </c>
      <c r="BC294" s="3" t="s">
        <v>3562</v>
      </c>
      <c r="BD294" s="3" t="s">
        <v>3563</v>
      </c>
    </row>
    <row r="295" spans="1:56" ht="44.25" customHeight="1" x14ac:dyDescent="0.25">
      <c r="A295" s="7" t="s">
        <v>61</v>
      </c>
      <c r="B295" s="2" t="s">
        <v>3526</v>
      </c>
      <c r="C295" s="2" t="s">
        <v>3527</v>
      </c>
      <c r="D295" s="2" t="s">
        <v>3528</v>
      </c>
      <c r="E295" s="3" t="s">
        <v>58</v>
      </c>
      <c r="F295" s="3" t="s">
        <v>59</v>
      </c>
      <c r="G295" s="3" t="s">
        <v>60</v>
      </c>
      <c r="H295" s="3" t="s">
        <v>61</v>
      </c>
      <c r="I295" s="3" t="s">
        <v>61</v>
      </c>
      <c r="J295" s="3" t="s">
        <v>62</v>
      </c>
      <c r="K295" s="2" t="s">
        <v>3529</v>
      </c>
      <c r="L295" s="2" t="s">
        <v>3530</v>
      </c>
      <c r="M295" s="3" t="s">
        <v>3531</v>
      </c>
      <c r="N295" s="2" t="s">
        <v>3532</v>
      </c>
      <c r="O295" s="3" t="s">
        <v>114</v>
      </c>
      <c r="P295" s="3" t="s">
        <v>437</v>
      </c>
      <c r="Q295" s="2" t="s">
        <v>3533</v>
      </c>
      <c r="R295" s="3" t="s">
        <v>68</v>
      </c>
      <c r="S295" s="4">
        <v>0</v>
      </c>
      <c r="T295" s="4">
        <v>3</v>
      </c>
      <c r="V295" s="5" t="s">
        <v>3534</v>
      </c>
      <c r="W295" s="5" t="s">
        <v>2491</v>
      </c>
      <c r="X295" s="5" t="s">
        <v>2491</v>
      </c>
      <c r="Y295" s="4">
        <v>68</v>
      </c>
      <c r="Z295" s="4">
        <v>65</v>
      </c>
      <c r="AA295" s="4">
        <v>142</v>
      </c>
      <c r="AB295" s="4">
        <v>1</v>
      </c>
      <c r="AC295" s="4">
        <v>2</v>
      </c>
      <c r="AD295" s="4">
        <v>1</v>
      </c>
      <c r="AE295" s="4">
        <v>6</v>
      </c>
      <c r="AF295" s="4">
        <v>0</v>
      </c>
      <c r="AG295" s="4">
        <v>1</v>
      </c>
      <c r="AH295" s="4">
        <v>1</v>
      </c>
      <c r="AI295" s="4">
        <v>2</v>
      </c>
      <c r="AJ295" s="4">
        <v>0</v>
      </c>
      <c r="AK295" s="4">
        <v>2</v>
      </c>
      <c r="AL295" s="4">
        <v>0</v>
      </c>
      <c r="AM295" s="4">
        <v>1</v>
      </c>
      <c r="AN295" s="4">
        <v>0</v>
      </c>
      <c r="AO295" s="4">
        <v>0</v>
      </c>
      <c r="AP295" s="3" t="s">
        <v>59</v>
      </c>
      <c r="AQ295" s="3" t="s">
        <v>61</v>
      </c>
      <c r="AR295" s="6" t="str">
        <f t="shared" si="6"/>
        <v>HathiTrust Record</v>
      </c>
      <c r="AS295" s="6" t="str">
        <f t="shared" si="7"/>
        <v>Catalog Record</v>
      </c>
      <c r="AT295" s="6" t="str">
        <f t="shared" si="8"/>
        <v>WorldCat Record</v>
      </c>
      <c r="AU295" s="3" t="s">
        <v>3535</v>
      </c>
      <c r="AV295" s="3" t="s">
        <v>3536</v>
      </c>
      <c r="AW295" s="3" t="s">
        <v>3537</v>
      </c>
      <c r="AX295" s="3" t="s">
        <v>3537</v>
      </c>
      <c r="AY295" s="3" t="s">
        <v>3538</v>
      </c>
      <c r="AZ295" s="3" t="s">
        <v>75</v>
      </c>
      <c r="BC295" s="3" t="s">
        <v>3564</v>
      </c>
      <c r="BD295" s="3" t="s">
        <v>3565</v>
      </c>
    </row>
    <row r="296" spans="1:56" ht="44.25" customHeight="1" x14ac:dyDescent="0.25">
      <c r="A296" s="7" t="s">
        <v>61</v>
      </c>
      <c r="B296" s="2" t="s">
        <v>3526</v>
      </c>
      <c r="C296" s="2" t="s">
        <v>3527</v>
      </c>
      <c r="D296" s="2" t="s">
        <v>3528</v>
      </c>
      <c r="E296" s="3" t="s">
        <v>90</v>
      </c>
      <c r="F296" s="3" t="s">
        <v>59</v>
      </c>
      <c r="G296" s="3" t="s">
        <v>60</v>
      </c>
      <c r="H296" s="3" t="s">
        <v>61</v>
      </c>
      <c r="I296" s="3" t="s">
        <v>61</v>
      </c>
      <c r="J296" s="3" t="s">
        <v>62</v>
      </c>
      <c r="K296" s="2" t="s">
        <v>3529</v>
      </c>
      <c r="L296" s="2" t="s">
        <v>3530</v>
      </c>
      <c r="M296" s="3" t="s">
        <v>3531</v>
      </c>
      <c r="N296" s="2" t="s">
        <v>3532</v>
      </c>
      <c r="O296" s="3" t="s">
        <v>114</v>
      </c>
      <c r="P296" s="3" t="s">
        <v>437</v>
      </c>
      <c r="Q296" s="2" t="s">
        <v>3533</v>
      </c>
      <c r="R296" s="3" t="s">
        <v>68</v>
      </c>
      <c r="S296" s="4">
        <v>0</v>
      </c>
      <c r="T296" s="4">
        <v>3</v>
      </c>
      <c r="V296" s="5" t="s">
        <v>3534</v>
      </c>
      <c r="W296" s="5" t="s">
        <v>2491</v>
      </c>
      <c r="X296" s="5" t="s">
        <v>2491</v>
      </c>
      <c r="Y296" s="4">
        <v>68</v>
      </c>
      <c r="Z296" s="4">
        <v>65</v>
      </c>
      <c r="AA296" s="4">
        <v>142</v>
      </c>
      <c r="AB296" s="4">
        <v>1</v>
      </c>
      <c r="AC296" s="4">
        <v>2</v>
      </c>
      <c r="AD296" s="4">
        <v>1</v>
      </c>
      <c r="AE296" s="4">
        <v>6</v>
      </c>
      <c r="AF296" s="4">
        <v>0</v>
      </c>
      <c r="AG296" s="4">
        <v>1</v>
      </c>
      <c r="AH296" s="4">
        <v>1</v>
      </c>
      <c r="AI296" s="4">
        <v>2</v>
      </c>
      <c r="AJ296" s="4">
        <v>0</v>
      </c>
      <c r="AK296" s="4">
        <v>2</v>
      </c>
      <c r="AL296" s="4">
        <v>0</v>
      </c>
      <c r="AM296" s="4">
        <v>1</v>
      </c>
      <c r="AN296" s="4">
        <v>0</v>
      </c>
      <c r="AO296" s="4">
        <v>0</v>
      </c>
      <c r="AP296" s="3" t="s">
        <v>59</v>
      </c>
      <c r="AQ296" s="3" t="s">
        <v>61</v>
      </c>
      <c r="AR296" s="6" t="str">
        <f t="shared" si="6"/>
        <v>HathiTrust Record</v>
      </c>
      <c r="AS296" s="6" t="str">
        <f t="shared" si="7"/>
        <v>Catalog Record</v>
      </c>
      <c r="AT296" s="6" t="str">
        <f t="shared" si="8"/>
        <v>WorldCat Record</v>
      </c>
      <c r="AU296" s="3" t="s">
        <v>3535</v>
      </c>
      <c r="AV296" s="3" t="s">
        <v>3536</v>
      </c>
      <c r="AW296" s="3" t="s">
        <v>3537</v>
      </c>
      <c r="AX296" s="3" t="s">
        <v>3537</v>
      </c>
      <c r="AY296" s="3" t="s">
        <v>3538</v>
      </c>
      <c r="AZ296" s="3" t="s">
        <v>75</v>
      </c>
      <c r="BC296" s="3" t="s">
        <v>3566</v>
      </c>
      <c r="BD296" s="3" t="s">
        <v>3567</v>
      </c>
    </row>
    <row r="297" spans="1:56" ht="44.25" customHeight="1" x14ac:dyDescent="0.25">
      <c r="A297" s="7" t="s">
        <v>61</v>
      </c>
      <c r="B297" s="2" t="s">
        <v>3526</v>
      </c>
      <c r="C297" s="2" t="s">
        <v>3527</v>
      </c>
      <c r="D297" s="2" t="s">
        <v>3528</v>
      </c>
      <c r="E297" s="3" t="s">
        <v>99</v>
      </c>
      <c r="F297" s="3" t="s">
        <v>59</v>
      </c>
      <c r="G297" s="3" t="s">
        <v>60</v>
      </c>
      <c r="H297" s="3" t="s">
        <v>61</v>
      </c>
      <c r="I297" s="3" t="s">
        <v>61</v>
      </c>
      <c r="J297" s="3" t="s">
        <v>62</v>
      </c>
      <c r="K297" s="2" t="s">
        <v>3529</v>
      </c>
      <c r="L297" s="2" t="s">
        <v>3530</v>
      </c>
      <c r="M297" s="3" t="s">
        <v>3531</v>
      </c>
      <c r="N297" s="2" t="s">
        <v>3532</v>
      </c>
      <c r="O297" s="3" t="s">
        <v>114</v>
      </c>
      <c r="P297" s="3" t="s">
        <v>437</v>
      </c>
      <c r="Q297" s="2" t="s">
        <v>3533</v>
      </c>
      <c r="R297" s="3" t="s">
        <v>68</v>
      </c>
      <c r="S297" s="4">
        <v>0</v>
      </c>
      <c r="T297" s="4">
        <v>3</v>
      </c>
      <c r="V297" s="5" t="s">
        <v>3534</v>
      </c>
      <c r="W297" s="5" t="s">
        <v>2491</v>
      </c>
      <c r="X297" s="5" t="s">
        <v>2491</v>
      </c>
      <c r="Y297" s="4">
        <v>68</v>
      </c>
      <c r="Z297" s="4">
        <v>65</v>
      </c>
      <c r="AA297" s="4">
        <v>142</v>
      </c>
      <c r="AB297" s="4">
        <v>1</v>
      </c>
      <c r="AC297" s="4">
        <v>2</v>
      </c>
      <c r="AD297" s="4">
        <v>1</v>
      </c>
      <c r="AE297" s="4">
        <v>6</v>
      </c>
      <c r="AF297" s="4">
        <v>0</v>
      </c>
      <c r="AG297" s="4">
        <v>1</v>
      </c>
      <c r="AH297" s="4">
        <v>1</v>
      </c>
      <c r="AI297" s="4">
        <v>2</v>
      </c>
      <c r="AJ297" s="4">
        <v>0</v>
      </c>
      <c r="AK297" s="4">
        <v>2</v>
      </c>
      <c r="AL297" s="4">
        <v>0</v>
      </c>
      <c r="AM297" s="4">
        <v>1</v>
      </c>
      <c r="AN297" s="4">
        <v>0</v>
      </c>
      <c r="AO297" s="4">
        <v>0</v>
      </c>
      <c r="AP297" s="3" t="s">
        <v>59</v>
      </c>
      <c r="AQ297" s="3" t="s">
        <v>61</v>
      </c>
      <c r="AR297" s="6" t="str">
        <f t="shared" si="6"/>
        <v>HathiTrust Record</v>
      </c>
      <c r="AS297" s="6" t="str">
        <f t="shared" si="7"/>
        <v>Catalog Record</v>
      </c>
      <c r="AT297" s="6" t="str">
        <f t="shared" si="8"/>
        <v>WorldCat Record</v>
      </c>
      <c r="AU297" s="3" t="s">
        <v>3535</v>
      </c>
      <c r="AV297" s="3" t="s">
        <v>3536</v>
      </c>
      <c r="AW297" s="3" t="s">
        <v>3537</v>
      </c>
      <c r="AX297" s="3" t="s">
        <v>3537</v>
      </c>
      <c r="AY297" s="3" t="s">
        <v>3538</v>
      </c>
      <c r="AZ297" s="3" t="s">
        <v>75</v>
      </c>
      <c r="BC297" s="3" t="s">
        <v>3568</v>
      </c>
      <c r="BD297" s="3" t="s">
        <v>3569</v>
      </c>
    </row>
    <row r="298" spans="1:56" ht="44.25" customHeight="1" x14ac:dyDescent="0.25">
      <c r="A298" s="7" t="s">
        <v>61</v>
      </c>
      <c r="B298" s="2" t="s">
        <v>3526</v>
      </c>
      <c r="C298" s="2" t="s">
        <v>3527</v>
      </c>
      <c r="D298" s="2" t="s">
        <v>3528</v>
      </c>
      <c r="E298" s="3" t="s">
        <v>102</v>
      </c>
      <c r="F298" s="3" t="s">
        <v>59</v>
      </c>
      <c r="G298" s="3" t="s">
        <v>60</v>
      </c>
      <c r="H298" s="3" t="s">
        <v>61</v>
      </c>
      <c r="I298" s="3" t="s">
        <v>61</v>
      </c>
      <c r="J298" s="3" t="s">
        <v>62</v>
      </c>
      <c r="K298" s="2" t="s">
        <v>3529</v>
      </c>
      <c r="L298" s="2" t="s">
        <v>3530</v>
      </c>
      <c r="M298" s="3" t="s">
        <v>3531</v>
      </c>
      <c r="N298" s="2" t="s">
        <v>3532</v>
      </c>
      <c r="O298" s="3" t="s">
        <v>114</v>
      </c>
      <c r="P298" s="3" t="s">
        <v>437</v>
      </c>
      <c r="Q298" s="2" t="s">
        <v>3533</v>
      </c>
      <c r="R298" s="3" t="s">
        <v>68</v>
      </c>
      <c r="S298" s="4">
        <v>3</v>
      </c>
      <c r="T298" s="4">
        <v>3</v>
      </c>
      <c r="U298" s="5" t="s">
        <v>3534</v>
      </c>
      <c r="V298" s="5" t="s">
        <v>3534</v>
      </c>
      <c r="W298" s="5" t="s">
        <v>2491</v>
      </c>
      <c r="X298" s="5" t="s">
        <v>2491</v>
      </c>
      <c r="Y298" s="4">
        <v>68</v>
      </c>
      <c r="Z298" s="4">
        <v>65</v>
      </c>
      <c r="AA298" s="4">
        <v>142</v>
      </c>
      <c r="AB298" s="4">
        <v>1</v>
      </c>
      <c r="AC298" s="4">
        <v>2</v>
      </c>
      <c r="AD298" s="4">
        <v>1</v>
      </c>
      <c r="AE298" s="4">
        <v>6</v>
      </c>
      <c r="AF298" s="4">
        <v>0</v>
      </c>
      <c r="AG298" s="4">
        <v>1</v>
      </c>
      <c r="AH298" s="4">
        <v>1</v>
      </c>
      <c r="AI298" s="4">
        <v>2</v>
      </c>
      <c r="AJ298" s="4">
        <v>0</v>
      </c>
      <c r="AK298" s="4">
        <v>2</v>
      </c>
      <c r="AL298" s="4">
        <v>0</v>
      </c>
      <c r="AM298" s="4">
        <v>1</v>
      </c>
      <c r="AN298" s="4">
        <v>0</v>
      </c>
      <c r="AO298" s="4">
        <v>0</v>
      </c>
      <c r="AP298" s="3" t="s">
        <v>59</v>
      </c>
      <c r="AQ298" s="3" t="s">
        <v>61</v>
      </c>
      <c r="AR298" s="6" t="str">
        <f t="shared" si="6"/>
        <v>HathiTrust Record</v>
      </c>
      <c r="AS298" s="6" t="str">
        <f t="shared" si="7"/>
        <v>Catalog Record</v>
      </c>
      <c r="AT298" s="6" t="str">
        <f t="shared" si="8"/>
        <v>WorldCat Record</v>
      </c>
      <c r="AU298" s="3" t="s">
        <v>3535</v>
      </c>
      <c r="AV298" s="3" t="s">
        <v>3536</v>
      </c>
      <c r="AW298" s="3" t="s">
        <v>3537</v>
      </c>
      <c r="AX298" s="3" t="s">
        <v>3537</v>
      </c>
      <c r="AY298" s="3" t="s">
        <v>3538</v>
      </c>
      <c r="AZ298" s="3" t="s">
        <v>75</v>
      </c>
      <c r="BC298" s="3" t="s">
        <v>3570</v>
      </c>
      <c r="BD298" s="3" t="s">
        <v>3571</v>
      </c>
    </row>
    <row r="299" spans="1:56" ht="44.25" customHeight="1" x14ac:dyDescent="0.25">
      <c r="A299" s="7" t="s">
        <v>61</v>
      </c>
      <c r="B299" s="2" t="s">
        <v>3572</v>
      </c>
      <c r="C299" s="2" t="s">
        <v>3573</v>
      </c>
      <c r="D299" s="2" t="s">
        <v>3574</v>
      </c>
      <c r="F299" s="3" t="s">
        <v>61</v>
      </c>
      <c r="G299" s="3" t="s">
        <v>60</v>
      </c>
      <c r="H299" s="3" t="s">
        <v>61</v>
      </c>
      <c r="I299" s="3" t="s">
        <v>61</v>
      </c>
      <c r="J299" s="3" t="s">
        <v>62</v>
      </c>
      <c r="K299" s="2" t="s">
        <v>3575</v>
      </c>
      <c r="L299" s="2" t="s">
        <v>3576</v>
      </c>
      <c r="M299" s="3" t="s">
        <v>3577</v>
      </c>
      <c r="N299" s="2" t="s">
        <v>3578</v>
      </c>
      <c r="O299" s="3" t="s">
        <v>114</v>
      </c>
      <c r="P299" s="3" t="s">
        <v>67</v>
      </c>
      <c r="R299" s="3" t="s">
        <v>68</v>
      </c>
      <c r="S299" s="4">
        <v>5</v>
      </c>
      <c r="T299" s="4">
        <v>5</v>
      </c>
      <c r="U299" s="5" t="s">
        <v>3579</v>
      </c>
      <c r="V299" s="5" t="s">
        <v>3579</v>
      </c>
      <c r="W299" s="5" t="s">
        <v>2491</v>
      </c>
      <c r="X299" s="5" t="s">
        <v>2491</v>
      </c>
      <c r="Y299" s="4">
        <v>61</v>
      </c>
      <c r="Z299" s="4">
        <v>55</v>
      </c>
      <c r="AA299" s="4">
        <v>146</v>
      </c>
      <c r="AB299" s="4">
        <v>2</v>
      </c>
      <c r="AC299" s="4">
        <v>2</v>
      </c>
      <c r="AD299" s="4">
        <v>12</v>
      </c>
      <c r="AE299" s="4">
        <v>22</v>
      </c>
      <c r="AF299" s="4">
        <v>3</v>
      </c>
      <c r="AG299" s="4">
        <v>7</v>
      </c>
      <c r="AH299" s="4">
        <v>2</v>
      </c>
      <c r="AI299" s="4">
        <v>3</v>
      </c>
      <c r="AJ299" s="4">
        <v>9</v>
      </c>
      <c r="AK299" s="4">
        <v>18</v>
      </c>
      <c r="AL299" s="4">
        <v>0</v>
      </c>
      <c r="AM299" s="4">
        <v>0</v>
      </c>
      <c r="AN299" s="4">
        <v>0</v>
      </c>
      <c r="AO299" s="4">
        <v>0</v>
      </c>
      <c r="AP299" s="3" t="s">
        <v>59</v>
      </c>
      <c r="AQ299" s="3" t="s">
        <v>61</v>
      </c>
      <c r="AR299" s="6" t="str">
        <f>HYPERLINK("http://catalog.hathitrust.org/Record/009597558","HathiTrust Record")</f>
        <v>HathiTrust Record</v>
      </c>
      <c r="AS299" s="6" t="str">
        <f>HYPERLINK("https://creighton-primo.hosted.exlibrisgroup.com/primo-explore/search?tab=default_tab&amp;search_scope=EVERYTHING&amp;vid=01CRU&amp;lang=en_US&amp;offset=0&amp;query=any,contains,991003480859702656","Catalog Record")</f>
        <v>Catalog Record</v>
      </c>
      <c r="AT299" s="6" t="str">
        <f>HYPERLINK("http://www.worldcat.org/oclc/1028227","WorldCat Record")</f>
        <v>WorldCat Record</v>
      </c>
      <c r="AU299" s="3" t="s">
        <v>3580</v>
      </c>
      <c r="AV299" s="3" t="s">
        <v>3581</v>
      </c>
      <c r="AW299" s="3" t="s">
        <v>3582</v>
      </c>
      <c r="AX299" s="3" t="s">
        <v>3582</v>
      </c>
      <c r="AY299" s="3" t="s">
        <v>3583</v>
      </c>
      <c r="AZ299" s="3" t="s">
        <v>75</v>
      </c>
      <c r="BC299" s="3" t="s">
        <v>3584</v>
      </c>
      <c r="BD299" s="3" t="s">
        <v>3585</v>
      </c>
    </row>
    <row r="300" spans="1:56" ht="44.25" customHeight="1" x14ac:dyDescent="0.25">
      <c r="A300" s="7" t="s">
        <v>61</v>
      </c>
      <c r="B300" s="2" t="s">
        <v>3586</v>
      </c>
      <c r="C300" s="2" t="s">
        <v>3587</v>
      </c>
      <c r="D300" s="2" t="s">
        <v>3588</v>
      </c>
      <c r="F300" s="3" t="s">
        <v>61</v>
      </c>
      <c r="G300" s="3" t="s">
        <v>60</v>
      </c>
      <c r="H300" s="3" t="s">
        <v>61</v>
      </c>
      <c r="I300" s="3" t="s">
        <v>61</v>
      </c>
      <c r="J300" s="3" t="s">
        <v>62</v>
      </c>
      <c r="K300" s="2" t="s">
        <v>3589</v>
      </c>
      <c r="L300" s="2" t="s">
        <v>3590</v>
      </c>
      <c r="M300" s="3" t="s">
        <v>1376</v>
      </c>
      <c r="O300" s="3" t="s">
        <v>114</v>
      </c>
      <c r="P300" s="3" t="s">
        <v>235</v>
      </c>
      <c r="Q300" s="2" t="s">
        <v>3591</v>
      </c>
      <c r="R300" s="3" t="s">
        <v>68</v>
      </c>
      <c r="S300" s="4">
        <v>2</v>
      </c>
      <c r="T300" s="4">
        <v>2</v>
      </c>
      <c r="U300" s="5" t="s">
        <v>3299</v>
      </c>
      <c r="V300" s="5" t="s">
        <v>3299</v>
      </c>
      <c r="W300" s="5" t="s">
        <v>3353</v>
      </c>
      <c r="X300" s="5" t="s">
        <v>3353</v>
      </c>
      <c r="Y300" s="4">
        <v>646</v>
      </c>
      <c r="Z300" s="4">
        <v>629</v>
      </c>
      <c r="AA300" s="4">
        <v>804</v>
      </c>
      <c r="AB300" s="4">
        <v>5</v>
      </c>
      <c r="AC300" s="4">
        <v>6</v>
      </c>
      <c r="AD300" s="4">
        <v>21</v>
      </c>
      <c r="AE300" s="4">
        <v>30</v>
      </c>
      <c r="AF300" s="4">
        <v>7</v>
      </c>
      <c r="AG300" s="4">
        <v>13</v>
      </c>
      <c r="AH300" s="4">
        <v>3</v>
      </c>
      <c r="AI300" s="4">
        <v>3</v>
      </c>
      <c r="AJ300" s="4">
        <v>9</v>
      </c>
      <c r="AK300" s="4">
        <v>15</v>
      </c>
      <c r="AL300" s="4">
        <v>4</v>
      </c>
      <c r="AM300" s="4">
        <v>5</v>
      </c>
      <c r="AN300" s="4">
        <v>0</v>
      </c>
      <c r="AO300" s="4">
        <v>0</v>
      </c>
      <c r="AP300" s="3" t="s">
        <v>61</v>
      </c>
      <c r="AQ300" s="3" t="s">
        <v>61</v>
      </c>
      <c r="AS300" s="6" t="str">
        <f>HYPERLINK("https://creighton-primo.hosted.exlibrisgroup.com/primo-explore/search?tab=default_tab&amp;search_scope=EVERYTHING&amp;vid=01CRU&amp;lang=en_US&amp;offset=0&amp;query=any,contains,991005435719702656","Catalog Record")</f>
        <v>Catalog Record</v>
      </c>
      <c r="AT300" s="6" t="str">
        <f>HYPERLINK("http://www.worldcat.org/oclc/3840","WorldCat Record")</f>
        <v>WorldCat Record</v>
      </c>
      <c r="AU300" s="3" t="s">
        <v>3592</v>
      </c>
      <c r="AV300" s="3" t="s">
        <v>3593</v>
      </c>
      <c r="AW300" s="3" t="s">
        <v>3594</v>
      </c>
      <c r="AX300" s="3" t="s">
        <v>3594</v>
      </c>
      <c r="AY300" s="3" t="s">
        <v>3595</v>
      </c>
      <c r="AZ300" s="3" t="s">
        <v>75</v>
      </c>
      <c r="BC300" s="3" t="s">
        <v>3596</v>
      </c>
      <c r="BD300" s="3" t="s">
        <v>3597</v>
      </c>
    </row>
    <row r="301" spans="1:56" ht="44.25" customHeight="1" x14ac:dyDescent="0.25">
      <c r="A301" s="7" t="s">
        <v>61</v>
      </c>
      <c r="B301" s="2" t="s">
        <v>3598</v>
      </c>
      <c r="C301" s="2" t="s">
        <v>3599</v>
      </c>
      <c r="D301" s="2" t="s">
        <v>3600</v>
      </c>
      <c r="F301" s="3" t="s">
        <v>61</v>
      </c>
      <c r="G301" s="3" t="s">
        <v>60</v>
      </c>
      <c r="H301" s="3" t="s">
        <v>61</v>
      </c>
      <c r="I301" s="3" t="s">
        <v>61</v>
      </c>
      <c r="J301" s="3" t="s">
        <v>62</v>
      </c>
      <c r="K301" s="2" t="s">
        <v>3601</v>
      </c>
      <c r="L301" s="2" t="s">
        <v>3602</v>
      </c>
      <c r="M301" s="3" t="s">
        <v>707</v>
      </c>
      <c r="O301" s="3" t="s">
        <v>114</v>
      </c>
      <c r="P301" s="3" t="s">
        <v>235</v>
      </c>
      <c r="Q301" s="2" t="s">
        <v>3603</v>
      </c>
      <c r="R301" s="3" t="s">
        <v>68</v>
      </c>
      <c r="S301" s="4">
        <v>7</v>
      </c>
      <c r="T301" s="4">
        <v>7</v>
      </c>
      <c r="U301" s="5" t="s">
        <v>3604</v>
      </c>
      <c r="V301" s="5" t="s">
        <v>3604</v>
      </c>
      <c r="W301" s="5" t="s">
        <v>3605</v>
      </c>
      <c r="X301" s="5" t="s">
        <v>3605</v>
      </c>
      <c r="Y301" s="4">
        <v>2307</v>
      </c>
      <c r="Z301" s="4">
        <v>2185</v>
      </c>
      <c r="AA301" s="4">
        <v>2252</v>
      </c>
      <c r="AB301" s="4">
        <v>16</v>
      </c>
      <c r="AC301" s="4">
        <v>17</v>
      </c>
      <c r="AD301" s="4">
        <v>38</v>
      </c>
      <c r="AE301" s="4">
        <v>40</v>
      </c>
      <c r="AF301" s="4">
        <v>17</v>
      </c>
      <c r="AG301" s="4">
        <v>19</v>
      </c>
      <c r="AH301" s="4">
        <v>9</v>
      </c>
      <c r="AI301" s="4">
        <v>9</v>
      </c>
      <c r="AJ301" s="4">
        <v>17</v>
      </c>
      <c r="AK301" s="4">
        <v>17</v>
      </c>
      <c r="AL301" s="4">
        <v>5</v>
      </c>
      <c r="AM301" s="4">
        <v>5</v>
      </c>
      <c r="AN301" s="4">
        <v>0</v>
      </c>
      <c r="AO301" s="4">
        <v>0</v>
      </c>
      <c r="AP301" s="3" t="s">
        <v>61</v>
      </c>
      <c r="AQ301" s="3" t="s">
        <v>61</v>
      </c>
      <c r="AS301" s="6" t="str">
        <f>HYPERLINK("https://creighton-primo.hosted.exlibrisgroup.com/primo-explore/search?tab=default_tab&amp;search_scope=EVERYTHING&amp;vid=01CRU&amp;lang=en_US&amp;offset=0&amp;query=any,contains,991002734269702656","Catalog Record")</f>
        <v>Catalog Record</v>
      </c>
      <c r="AT301" s="6" t="str">
        <f>HYPERLINK("http://www.worldcat.org/oclc/418553","WorldCat Record")</f>
        <v>WorldCat Record</v>
      </c>
      <c r="AU301" s="3" t="s">
        <v>3606</v>
      </c>
      <c r="AV301" s="3" t="s">
        <v>3607</v>
      </c>
      <c r="AW301" s="3" t="s">
        <v>3608</v>
      </c>
      <c r="AX301" s="3" t="s">
        <v>3608</v>
      </c>
      <c r="AY301" s="3" t="s">
        <v>3609</v>
      </c>
      <c r="AZ301" s="3" t="s">
        <v>75</v>
      </c>
      <c r="BC301" s="3" t="s">
        <v>3610</v>
      </c>
      <c r="BD301" s="3" t="s">
        <v>3611</v>
      </c>
    </row>
    <row r="302" spans="1:56" ht="44.25" customHeight="1" x14ac:dyDescent="0.25">
      <c r="A302" s="7" t="s">
        <v>61</v>
      </c>
      <c r="B302" s="2" t="s">
        <v>3612</v>
      </c>
      <c r="C302" s="2" t="s">
        <v>3613</v>
      </c>
      <c r="D302" s="2" t="s">
        <v>3614</v>
      </c>
      <c r="F302" s="3" t="s">
        <v>61</v>
      </c>
      <c r="G302" s="3" t="s">
        <v>60</v>
      </c>
      <c r="H302" s="3" t="s">
        <v>61</v>
      </c>
      <c r="I302" s="3" t="s">
        <v>61</v>
      </c>
      <c r="J302" s="3" t="s">
        <v>62</v>
      </c>
      <c r="K302" s="2" t="s">
        <v>3615</v>
      </c>
      <c r="L302" s="2" t="s">
        <v>3616</v>
      </c>
      <c r="M302" s="3" t="s">
        <v>1571</v>
      </c>
      <c r="O302" s="3" t="s">
        <v>1715</v>
      </c>
      <c r="P302" s="3" t="s">
        <v>1716</v>
      </c>
      <c r="R302" s="3" t="s">
        <v>68</v>
      </c>
      <c r="S302" s="4">
        <v>2</v>
      </c>
      <c r="T302" s="4">
        <v>2</v>
      </c>
      <c r="U302" s="5" t="s">
        <v>3617</v>
      </c>
      <c r="V302" s="5" t="s">
        <v>3617</v>
      </c>
      <c r="W302" s="5" t="s">
        <v>3618</v>
      </c>
      <c r="X302" s="5" t="s">
        <v>3618</v>
      </c>
      <c r="Y302" s="4">
        <v>123</v>
      </c>
      <c r="Z302" s="4">
        <v>59</v>
      </c>
      <c r="AA302" s="4">
        <v>89</v>
      </c>
      <c r="AB302" s="4">
        <v>1</v>
      </c>
      <c r="AC302" s="4">
        <v>1</v>
      </c>
      <c r="AD302" s="4">
        <v>2</v>
      </c>
      <c r="AE302" s="4">
        <v>2</v>
      </c>
      <c r="AF302" s="4">
        <v>0</v>
      </c>
      <c r="AG302" s="4">
        <v>0</v>
      </c>
      <c r="AH302" s="4">
        <v>1</v>
      </c>
      <c r="AI302" s="4">
        <v>1</v>
      </c>
      <c r="AJ302" s="4">
        <v>2</v>
      </c>
      <c r="AK302" s="4">
        <v>2</v>
      </c>
      <c r="AL302" s="4">
        <v>0</v>
      </c>
      <c r="AM302" s="4">
        <v>0</v>
      </c>
      <c r="AN302" s="4">
        <v>0</v>
      </c>
      <c r="AO302" s="4">
        <v>0</v>
      </c>
      <c r="AP302" s="3" t="s">
        <v>61</v>
      </c>
      <c r="AQ302" s="3" t="s">
        <v>61</v>
      </c>
      <c r="AS302" s="6" t="str">
        <f>HYPERLINK("https://creighton-primo.hosted.exlibrisgroup.com/primo-explore/search?tab=default_tab&amp;search_scope=EVERYTHING&amp;vid=01CRU&amp;lang=en_US&amp;offset=0&amp;query=any,contains,991003600759702656","Catalog Record")</f>
        <v>Catalog Record</v>
      </c>
      <c r="AT302" s="6" t="str">
        <f>HYPERLINK("http://www.worldcat.org/oclc/542740","WorldCat Record")</f>
        <v>WorldCat Record</v>
      </c>
      <c r="AU302" s="3" t="s">
        <v>3619</v>
      </c>
      <c r="AV302" s="3" t="s">
        <v>3620</v>
      </c>
      <c r="AW302" s="3" t="s">
        <v>3621</v>
      </c>
      <c r="AX302" s="3" t="s">
        <v>3621</v>
      </c>
      <c r="AY302" s="3" t="s">
        <v>3622</v>
      </c>
      <c r="AZ302" s="3" t="s">
        <v>75</v>
      </c>
      <c r="BC302" s="3" t="s">
        <v>3623</v>
      </c>
      <c r="BD302" s="3" t="s">
        <v>3624</v>
      </c>
    </row>
    <row r="303" spans="1:56" ht="44.25" customHeight="1" x14ac:dyDescent="0.25">
      <c r="A303" s="7" t="s">
        <v>61</v>
      </c>
      <c r="B303" s="2" t="s">
        <v>3625</v>
      </c>
      <c r="C303" s="2" t="s">
        <v>3626</v>
      </c>
      <c r="D303" s="2" t="s">
        <v>3627</v>
      </c>
      <c r="F303" s="3" t="s">
        <v>61</v>
      </c>
      <c r="G303" s="3" t="s">
        <v>60</v>
      </c>
      <c r="H303" s="3" t="s">
        <v>61</v>
      </c>
      <c r="I303" s="3" t="s">
        <v>61</v>
      </c>
      <c r="J303" s="3" t="s">
        <v>62</v>
      </c>
      <c r="K303" s="2" t="s">
        <v>3628</v>
      </c>
      <c r="L303" s="2" t="s">
        <v>3629</v>
      </c>
      <c r="M303" s="3" t="s">
        <v>113</v>
      </c>
      <c r="O303" s="3" t="s">
        <v>114</v>
      </c>
      <c r="P303" s="3" t="s">
        <v>192</v>
      </c>
      <c r="R303" s="3" t="s">
        <v>68</v>
      </c>
      <c r="S303" s="4">
        <v>9</v>
      </c>
      <c r="T303" s="4">
        <v>9</v>
      </c>
      <c r="U303" s="5" t="s">
        <v>3630</v>
      </c>
      <c r="V303" s="5" t="s">
        <v>3630</v>
      </c>
      <c r="W303" s="5" t="s">
        <v>3353</v>
      </c>
      <c r="X303" s="5" t="s">
        <v>3353</v>
      </c>
      <c r="Y303" s="4">
        <v>805</v>
      </c>
      <c r="Z303" s="4">
        <v>648</v>
      </c>
      <c r="AA303" s="4">
        <v>720</v>
      </c>
      <c r="AB303" s="4">
        <v>9</v>
      </c>
      <c r="AC303" s="4">
        <v>10</v>
      </c>
      <c r="AD303" s="4">
        <v>31</v>
      </c>
      <c r="AE303" s="4">
        <v>37</v>
      </c>
      <c r="AF303" s="4">
        <v>7</v>
      </c>
      <c r="AG303" s="4">
        <v>11</v>
      </c>
      <c r="AH303" s="4">
        <v>6</v>
      </c>
      <c r="AI303" s="4">
        <v>7</v>
      </c>
      <c r="AJ303" s="4">
        <v>17</v>
      </c>
      <c r="AK303" s="4">
        <v>18</v>
      </c>
      <c r="AL303" s="4">
        <v>8</v>
      </c>
      <c r="AM303" s="4">
        <v>9</v>
      </c>
      <c r="AN303" s="4">
        <v>0</v>
      </c>
      <c r="AO303" s="4">
        <v>0</v>
      </c>
      <c r="AP303" s="3" t="s">
        <v>61</v>
      </c>
      <c r="AQ303" s="3" t="s">
        <v>59</v>
      </c>
      <c r="AR303" s="6" t="str">
        <f>HYPERLINK("http://catalog.hathitrust.org/Record/000828702","HathiTrust Record")</f>
        <v>HathiTrust Record</v>
      </c>
      <c r="AS303" s="6" t="str">
        <f>HYPERLINK("https://creighton-primo.hosted.exlibrisgroup.com/primo-explore/search?tab=default_tab&amp;search_scope=EVERYTHING&amp;vid=01CRU&amp;lang=en_US&amp;offset=0&amp;query=any,contains,991002659219702656","Catalog Record")</f>
        <v>Catalog Record</v>
      </c>
      <c r="AT303" s="6" t="str">
        <f>HYPERLINK("http://www.worldcat.org/oclc/390828","WorldCat Record")</f>
        <v>WorldCat Record</v>
      </c>
      <c r="AU303" s="3" t="s">
        <v>3631</v>
      </c>
      <c r="AV303" s="3" t="s">
        <v>3632</v>
      </c>
      <c r="AW303" s="3" t="s">
        <v>3633</v>
      </c>
      <c r="AX303" s="3" t="s">
        <v>3633</v>
      </c>
      <c r="AY303" s="3" t="s">
        <v>3634</v>
      </c>
      <c r="AZ303" s="3" t="s">
        <v>75</v>
      </c>
      <c r="BC303" s="3" t="s">
        <v>3635</v>
      </c>
      <c r="BD303" s="3" t="s">
        <v>3636</v>
      </c>
    </row>
    <row r="304" spans="1:56" ht="44.25" customHeight="1" x14ac:dyDescent="0.25">
      <c r="A304" s="7" t="s">
        <v>61</v>
      </c>
      <c r="B304" s="2" t="s">
        <v>3637</v>
      </c>
      <c r="C304" s="2" t="s">
        <v>3638</v>
      </c>
      <c r="D304" s="2" t="s">
        <v>3639</v>
      </c>
      <c r="F304" s="3" t="s">
        <v>61</v>
      </c>
      <c r="G304" s="3" t="s">
        <v>60</v>
      </c>
      <c r="H304" s="3" t="s">
        <v>61</v>
      </c>
      <c r="I304" s="3" t="s">
        <v>61</v>
      </c>
      <c r="J304" s="3" t="s">
        <v>62</v>
      </c>
      <c r="K304" s="2" t="s">
        <v>3640</v>
      </c>
      <c r="L304" s="2" t="s">
        <v>3641</v>
      </c>
      <c r="M304" s="3" t="s">
        <v>884</v>
      </c>
      <c r="O304" s="3" t="s">
        <v>114</v>
      </c>
      <c r="P304" s="3" t="s">
        <v>235</v>
      </c>
      <c r="Q304" s="2" t="s">
        <v>3642</v>
      </c>
      <c r="R304" s="3" t="s">
        <v>68</v>
      </c>
      <c r="S304" s="4">
        <v>2</v>
      </c>
      <c r="T304" s="4">
        <v>2</v>
      </c>
      <c r="U304" s="5" t="s">
        <v>3643</v>
      </c>
      <c r="V304" s="5" t="s">
        <v>3643</v>
      </c>
      <c r="W304" s="5" t="s">
        <v>3643</v>
      </c>
      <c r="X304" s="5" t="s">
        <v>3643</v>
      </c>
      <c r="Y304" s="4">
        <v>268</v>
      </c>
      <c r="Z304" s="4">
        <v>246</v>
      </c>
      <c r="AA304" s="4">
        <v>271</v>
      </c>
      <c r="AB304" s="4">
        <v>3</v>
      </c>
      <c r="AC304" s="4">
        <v>3</v>
      </c>
      <c r="AD304" s="4">
        <v>13</v>
      </c>
      <c r="AE304" s="4">
        <v>13</v>
      </c>
      <c r="AF304" s="4">
        <v>3</v>
      </c>
      <c r="AG304" s="4">
        <v>3</v>
      </c>
      <c r="AH304" s="4">
        <v>4</v>
      </c>
      <c r="AI304" s="4">
        <v>4</v>
      </c>
      <c r="AJ304" s="4">
        <v>6</v>
      </c>
      <c r="AK304" s="4">
        <v>6</v>
      </c>
      <c r="AL304" s="4">
        <v>2</v>
      </c>
      <c r="AM304" s="4">
        <v>2</v>
      </c>
      <c r="AN304" s="4">
        <v>0</v>
      </c>
      <c r="AO304" s="4">
        <v>0</v>
      </c>
      <c r="AP304" s="3" t="s">
        <v>61</v>
      </c>
      <c r="AQ304" s="3" t="s">
        <v>61</v>
      </c>
      <c r="AS304" s="6" t="str">
        <f>HYPERLINK("https://creighton-primo.hosted.exlibrisgroup.com/primo-explore/search?tab=default_tab&amp;search_scope=EVERYTHING&amp;vid=01CRU&amp;lang=en_US&amp;offset=0&amp;query=any,contains,991004398689702656","Catalog Record")</f>
        <v>Catalog Record</v>
      </c>
      <c r="AT304" s="6" t="str">
        <f>HYPERLINK("http://www.worldcat.org/oclc/104300","WorldCat Record")</f>
        <v>WorldCat Record</v>
      </c>
      <c r="AU304" s="3" t="s">
        <v>3644</v>
      </c>
      <c r="AV304" s="3" t="s">
        <v>3645</v>
      </c>
      <c r="AW304" s="3" t="s">
        <v>3646</v>
      </c>
      <c r="AX304" s="3" t="s">
        <v>3646</v>
      </c>
      <c r="AY304" s="3" t="s">
        <v>3647</v>
      </c>
      <c r="AZ304" s="3" t="s">
        <v>75</v>
      </c>
      <c r="BB304" s="3" t="s">
        <v>3648</v>
      </c>
      <c r="BC304" s="3" t="s">
        <v>3649</v>
      </c>
      <c r="BD304" s="3" t="s">
        <v>3650</v>
      </c>
    </row>
    <row r="305" spans="1:56" ht="44.25" customHeight="1" x14ac:dyDescent="0.25">
      <c r="A305" s="7" t="s">
        <v>61</v>
      </c>
      <c r="B305" s="2" t="s">
        <v>3651</v>
      </c>
      <c r="C305" s="2" t="s">
        <v>3652</v>
      </c>
      <c r="D305" s="2" t="s">
        <v>3653</v>
      </c>
      <c r="E305" s="3" t="s">
        <v>90</v>
      </c>
      <c r="F305" s="3" t="s">
        <v>59</v>
      </c>
      <c r="G305" s="3" t="s">
        <v>60</v>
      </c>
      <c r="H305" s="3" t="s">
        <v>61</v>
      </c>
      <c r="I305" s="3" t="s">
        <v>61</v>
      </c>
      <c r="J305" s="3" t="s">
        <v>62</v>
      </c>
      <c r="K305" s="2" t="s">
        <v>3654</v>
      </c>
      <c r="L305" s="2" t="s">
        <v>3655</v>
      </c>
      <c r="M305" s="3" t="s">
        <v>334</v>
      </c>
      <c r="O305" s="3" t="s">
        <v>114</v>
      </c>
      <c r="P305" s="3" t="s">
        <v>235</v>
      </c>
      <c r="Q305" s="2" t="s">
        <v>3656</v>
      </c>
      <c r="R305" s="3" t="s">
        <v>68</v>
      </c>
      <c r="S305" s="4">
        <v>2</v>
      </c>
      <c r="T305" s="4">
        <v>11</v>
      </c>
      <c r="V305" s="5" t="s">
        <v>3657</v>
      </c>
      <c r="W305" s="5" t="s">
        <v>162</v>
      </c>
      <c r="X305" s="5" t="s">
        <v>162</v>
      </c>
      <c r="Y305" s="4">
        <v>231</v>
      </c>
      <c r="Z305" s="4">
        <v>195</v>
      </c>
      <c r="AA305" s="4">
        <v>1335</v>
      </c>
      <c r="AB305" s="4">
        <v>2</v>
      </c>
      <c r="AC305" s="4">
        <v>11</v>
      </c>
      <c r="AD305" s="4">
        <v>6</v>
      </c>
      <c r="AE305" s="4">
        <v>47</v>
      </c>
      <c r="AF305" s="4">
        <v>3</v>
      </c>
      <c r="AG305" s="4">
        <v>20</v>
      </c>
      <c r="AH305" s="4">
        <v>1</v>
      </c>
      <c r="AI305" s="4">
        <v>8</v>
      </c>
      <c r="AJ305" s="4">
        <v>2</v>
      </c>
      <c r="AK305" s="4">
        <v>21</v>
      </c>
      <c r="AL305" s="4">
        <v>1</v>
      </c>
      <c r="AM305" s="4">
        <v>9</v>
      </c>
      <c r="AN305" s="4">
        <v>0</v>
      </c>
      <c r="AO305" s="4">
        <v>0</v>
      </c>
      <c r="AP305" s="3" t="s">
        <v>61</v>
      </c>
      <c r="AQ305" s="3" t="s">
        <v>59</v>
      </c>
      <c r="AR305" s="6" t="str">
        <f>HYPERLINK("http://catalog.hathitrust.org/Record/007064392","HathiTrust Record")</f>
        <v>HathiTrust Record</v>
      </c>
      <c r="AS305" s="6" t="str">
        <f>HYPERLINK("https://creighton-primo.hosted.exlibrisgroup.com/primo-explore/search?tab=default_tab&amp;search_scope=EVERYTHING&amp;vid=01CRU&amp;lang=en_US&amp;offset=0&amp;query=any,contains,991001061979702656","Catalog Record")</f>
        <v>Catalog Record</v>
      </c>
      <c r="AT305" s="6" t="str">
        <f>HYPERLINK("http://www.worldcat.org/oclc/15790821","WorldCat Record")</f>
        <v>WorldCat Record</v>
      </c>
      <c r="AU305" s="3" t="s">
        <v>3658</v>
      </c>
      <c r="AV305" s="3" t="s">
        <v>3659</v>
      </c>
      <c r="AW305" s="3" t="s">
        <v>3660</v>
      </c>
      <c r="AX305" s="3" t="s">
        <v>3660</v>
      </c>
      <c r="AY305" s="3" t="s">
        <v>3661</v>
      </c>
      <c r="AZ305" s="3" t="s">
        <v>75</v>
      </c>
      <c r="BB305" s="3" t="s">
        <v>3662</v>
      </c>
      <c r="BC305" s="3" t="s">
        <v>3663</v>
      </c>
      <c r="BD305" s="3" t="s">
        <v>3664</v>
      </c>
    </row>
    <row r="306" spans="1:56" ht="44.25" customHeight="1" x14ac:dyDescent="0.25">
      <c r="A306" s="7" t="s">
        <v>61</v>
      </c>
      <c r="B306" s="2" t="s">
        <v>3651</v>
      </c>
      <c r="C306" s="2" t="s">
        <v>3652</v>
      </c>
      <c r="D306" s="2" t="s">
        <v>3653</v>
      </c>
      <c r="E306" s="3" t="s">
        <v>84</v>
      </c>
      <c r="F306" s="3" t="s">
        <v>59</v>
      </c>
      <c r="G306" s="3" t="s">
        <v>60</v>
      </c>
      <c r="H306" s="3" t="s">
        <v>61</v>
      </c>
      <c r="I306" s="3" t="s">
        <v>61</v>
      </c>
      <c r="J306" s="3" t="s">
        <v>62</v>
      </c>
      <c r="K306" s="2" t="s">
        <v>3654</v>
      </c>
      <c r="L306" s="2" t="s">
        <v>3655</v>
      </c>
      <c r="M306" s="3" t="s">
        <v>334</v>
      </c>
      <c r="O306" s="3" t="s">
        <v>114</v>
      </c>
      <c r="P306" s="3" t="s">
        <v>235</v>
      </c>
      <c r="Q306" s="2" t="s">
        <v>3656</v>
      </c>
      <c r="R306" s="3" t="s">
        <v>68</v>
      </c>
      <c r="S306" s="4">
        <v>7</v>
      </c>
      <c r="T306" s="4">
        <v>11</v>
      </c>
      <c r="U306" s="5" t="s">
        <v>3657</v>
      </c>
      <c r="V306" s="5" t="s">
        <v>3657</v>
      </c>
      <c r="W306" s="5" t="s">
        <v>162</v>
      </c>
      <c r="X306" s="5" t="s">
        <v>162</v>
      </c>
      <c r="Y306" s="4">
        <v>231</v>
      </c>
      <c r="Z306" s="4">
        <v>195</v>
      </c>
      <c r="AA306" s="4">
        <v>1335</v>
      </c>
      <c r="AB306" s="4">
        <v>2</v>
      </c>
      <c r="AC306" s="4">
        <v>11</v>
      </c>
      <c r="AD306" s="4">
        <v>6</v>
      </c>
      <c r="AE306" s="4">
        <v>47</v>
      </c>
      <c r="AF306" s="4">
        <v>3</v>
      </c>
      <c r="AG306" s="4">
        <v>20</v>
      </c>
      <c r="AH306" s="4">
        <v>1</v>
      </c>
      <c r="AI306" s="4">
        <v>8</v>
      </c>
      <c r="AJ306" s="4">
        <v>2</v>
      </c>
      <c r="AK306" s="4">
        <v>21</v>
      </c>
      <c r="AL306" s="4">
        <v>1</v>
      </c>
      <c r="AM306" s="4">
        <v>9</v>
      </c>
      <c r="AN306" s="4">
        <v>0</v>
      </c>
      <c r="AO306" s="4">
        <v>0</v>
      </c>
      <c r="AP306" s="3" t="s">
        <v>61</v>
      </c>
      <c r="AQ306" s="3" t="s">
        <v>59</v>
      </c>
      <c r="AR306" s="6" t="str">
        <f>HYPERLINK("http://catalog.hathitrust.org/Record/007064392","HathiTrust Record")</f>
        <v>HathiTrust Record</v>
      </c>
      <c r="AS306" s="6" t="str">
        <f>HYPERLINK("https://creighton-primo.hosted.exlibrisgroup.com/primo-explore/search?tab=default_tab&amp;search_scope=EVERYTHING&amp;vid=01CRU&amp;lang=en_US&amp;offset=0&amp;query=any,contains,991001061979702656","Catalog Record")</f>
        <v>Catalog Record</v>
      </c>
      <c r="AT306" s="6" t="str">
        <f>HYPERLINK("http://www.worldcat.org/oclc/15790821","WorldCat Record")</f>
        <v>WorldCat Record</v>
      </c>
      <c r="AU306" s="3" t="s">
        <v>3658</v>
      </c>
      <c r="AV306" s="3" t="s">
        <v>3659</v>
      </c>
      <c r="AW306" s="3" t="s">
        <v>3660</v>
      </c>
      <c r="AX306" s="3" t="s">
        <v>3660</v>
      </c>
      <c r="AY306" s="3" t="s">
        <v>3661</v>
      </c>
      <c r="AZ306" s="3" t="s">
        <v>75</v>
      </c>
      <c r="BB306" s="3" t="s">
        <v>3662</v>
      </c>
      <c r="BC306" s="3" t="s">
        <v>3665</v>
      </c>
      <c r="BD306" s="3" t="s">
        <v>3666</v>
      </c>
    </row>
    <row r="307" spans="1:56" ht="44.25" customHeight="1" x14ac:dyDescent="0.25">
      <c r="A307" s="7" t="s">
        <v>61</v>
      </c>
      <c r="B307" s="2" t="s">
        <v>3651</v>
      </c>
      <c r="C307" s="2" t="s">
        <v>3652</v>
      </c>
      <c r="D307" s="2" t="s">
        <v>3653</v>
      </c>
      <c r="E307" s="3" t="s">
        <v>141</v>
      </c>
      <c r="F307" s="3" t="s">
        <v>59</v>
      </c>
      <c r="G307" s="3" t="s">
        <v>60</v>
      </c>
      <c r="H307" s="3" t="s">
        <v>61</v>
      </c>
      <c r="I307" s="3" t="s">
        <v>61</v>
      </c>
      <c r="J307" s="3" t="s">
        <v>62</v>
      </c>
      <c r="K307" s="2" t="s">
        <v>3654</v>
      </c>
      <c r="L307" s="2" t="s">
        <v>3655</v>
      </c>
      <c r="M307" s="3" t="s">
        <v>334</v>
      </c>
      <c r="O307" s="3" t="s">
        <v>114</v>
      </c>
      <c r="P307" s="3" t="s">
        <v>235</v>
      </c>
      <c r="Q307" s="2" t="s">
        <v>3656</v>
      </c>
      <c r="R307" s="3" t="s">
        <v>68</v>
      </c>
      <c r="S307" s="4">
        <v>2</v>
      </c>
      <c r="T307" s="4">
        <v>11</v>
      </c>
      <c r="U307" s="5" t="s">
        <v>3657</v>
      </c>
      <c r="V307" s="5" t="s">
        <v>3657</v>
      </c>
      <c r="W307" s="5" t="s">
        <v>162</v>
      </c>
      <c r="X307" s="5" t="s">
        <v>162</v>
      </c>
      <c r="Y307" s="4">
        <v>231</v>
      </c>
      <c r="Z307" s="4">
        <v>195</v>
      </c>
      <c r="AA307" s="4">
        <v>1335</v>
      </c>
      <c r="AB307" s="4">
        <v>2</v>
      </c>
      <c r="AC307" s="4">
        <v>11</v>
      </c>
      <c r="AD307" s="4">
        <v>6</v>
      </c>
      <c r="AE307" s="4">
        <v>47</v>
      </c>
      <c r="AF307" s="4">
        <v>3</v>
      </c>
      <c r="AG307" s="4">
        <v>20</v>
      </c>
      <c r="AH307" s="4">
        <v>1</v>
      </c>
      <c r="AI307" s="4">
        <v>8</v>
      </c>
      <c r="AJ307" s="4">
        <v>2</v>
      </c>
      <c r="AK307" s="4">
        <v>21</v>
      </c>
      <c r="AL307" s="4">
        <v>1</v>
      </c>
      <c r="AM307" s="4">
        <v>9</v>
      </c>
      <c r="AN307" s="4">
        <v>0</v>
      </c>
      <c r="AO307" s="4">
        <v>0</v>
      </c>
      <c r="AP307" s="3" t="s">
        <v>61</v>
      </c>
      <c r="AQ307" s="3" t="s">
        <v>59</v>
      </c>
      <c r="AR307" s="6" t="str">
        <f>HYPERLINK("http://catalog.hathitrust.org/Record/007064392","HathiTrust Record")</f>
        <v>HathiTrust Record</v>
      </c>
      <c r="AS307" s="6" t="str">
        <f>HYPERLINK("https://creighton-primo.hosted.exlibrisgroup.com/primo-explore/search?tab=default_tab&amp;search_scope=EVERYTHING&amp;vid=01CRU&amp;lang=en_US&amp;offset=0&amp;query=any,contains,991001061979702656","Catalog Record")</f>
        <v>Catalog Record</v>
      </c>
      <c r="AT307" s="6" t="str">
        <f>HYPERLINK("http://www.worldcat.org/oclc/15790821","WorldCat Record")</f>
        <v>WorldCat Record</v>
      </c>
      <c r="AU307" s="3" t="s">
        <v>3658</v>
      </c>
      <c r="AV307" s="3" t="s">
        <v>3659</v>
      </c>
      <c r="AW307" s="3" t="s">
        <v>3660</v>
      </c>
      <c r="AX307" s="3" t="s">
        <v>3660</v>
      </c>
      <c r="AY307" s="3" t="s">
        <v>3661</v>
      </c>
      <c r="AZ307" s="3" t="s">
        <v>75</v>
      </c>
      <c r="BB307" s="3" t="s">
        <v>3662</v>
      </c>
      <c r="BC307" s="3" t="s">
        <v>3667</v>
      </c>
      <c r="BD307" s="3" t="s">
        <v>3668</v>
      </c>
    </row>
    <row r="308" spans="1:56" ht="44.25" customHeight="1" x14ac:dyDescent="0.25">
      <c r="A308" s="7" t="s">
        <v>61</v>
      </c>
      <c r="B308" s="2" t="s">
        <v>3669</v>
      </c>
      <c r="C308" s="2" t="s">
        <v>3670</v>
      </c>
      <c r="D308" s="2" t="s">
        <v>3671</v>
      </c>
      <c r="F308" s="3" t="s">
        <v>61</v>
      </c>
      <c r="G308" s="3" t="s">
        <v>60</v>
      </c>
      <c r="H308" s="3" t="s">
        <v>61</v>
      </c>
      <c r="I308" s="3" t="s">
        <v>61</v>
      </c>
      <c r="J308" s="3" t="s">
        <v>62</v>
      </c>
      <c r="K308" s="2" t="s">
        <v>3672</v>
      </c>
      <c r="L308" s="2" t="s">
        <v>3673</v>
      </c>
      <c r="M308" s="3" t="s">
        <v>379</v>
      </c>
      <c r="O308" s="3" t="s">
        <v>114</v>
      </c>
      <c r="P308" s="3" t="s">
        <v>235</v>
      </c>
      <c r="Q308" s="2" t="s">
        <v>3674</v>
      </c>
      <c r="R308" s="3" t="s">
        <v>68</v>
      </c>
      <c r="S308" s="4">
        <v>2</v>
      </c>
      <c r="T308" s="4">
        <v>2</v>
      </c>
      <c r="U308" s="5" t="s">
        <v>3180</v>
      </c>
      <c r="V308" s="5" t="s">
        <v>3180</v>
      </c>
      <c r="W308" s="5" t="s">
        <v>3675</v>
      </c>
      <c r="X308" s="5" t="s">
        <v>3675</v>
      </c>
      <c r="Y308" s="4">
        <v>184</v>
      </c>
      <c r="Z308" s="4">
        <v>169</v>
      </c>
      <c r="AA308" s="4">
        <v>180</v>
      </c>
      <c r="AB308" s="4">
        <v>2</v>
      </c>
      <c r="AC308" s="4">
        <v>2</v>
      </c>
      <c r="AD308" s="4">
        <v>2</v>
      </c>
      <c r="AE308" s="4">
        <v>2</v>
      </c>
      <c r="AF308" s="4">
        <v>0</v>
      </c>
      <c r="AG308" s="4">
        <v>0</v>
      </c>
      <c r="AH308" s="4">
        <v>0</v>
      </c>
      <c r="AI308" s="4">
        <v>0</v>
      </c>
      <c r="AJ308" s="4">
        <v>1</v>
      </c>
      <c r="AK308" s="4">
        <v>1</v>
      </c>
      <c r="AL308" s="4">
        <v>1</v>
      </c>
      <c r="AM308" s="4">
        <v>1</v>
      </c>
      <c r="AN308" s="4">
        <v>0</v>
      </c>
      <c r="AO308" s="4">
        <v>0</v>
      </c>
      <c r="AP308" s="3" t="s">
        <v>61</v>
      </c>
      <c r="AQ308" s="3" t="s">
        <v>59</v>
      </c>
      <c r="AR308" s="6" t="str">
        <f>HYPERLINK("http://catalog.hathitrust.org/Record/007526004","HathiTrust Record")</f>
        <v>HathiTrust Record</v>
      </c>
      <c r="AS308" s="6" t="str">
        <f>HYPERLINK("https://creighton-primo.hosted.exlibrisgroup.com/primo-explore/search?tab=default_tab&amp;search_scope=EVERYTHING&amp;vid=01CRU&amp;lang=en_US&amp;offset=0&amp;query=any,contains,991003779629702656","Catalog Record")</f>
        <v>Catalog Record</v>
      </c>
      <c r="AT308" s="6" t="str">
        <f>HYPERLINK("http://www.worldcat.org/oclc/42726154","WorldCat Record")</f>
        <v>WorldCat Record</v>
      </c>
      <c r="AU308" s="3" t="s">
        <v>3676</v>
      </c>
      <c r="AV308" s="3" t="s">
        <v>3677</v>
      </c>
      <c r="AW308" s="3" t="s">
        <v>3678</v>
      </c>
      <c r="AX308" s="3" t="s">
        <v>3678</v>
      </c>
      <c r="AY308" s="3" t="s">
        <v>3679</v>
      </c>
      <c r="AZ308" s="3" t="s">
        <v>75</v>
      </c>
      <c r="BB308" s="3" t="s">
        <v>3680</v>
      </c>
      <c r="BC308" s="3" t="s">
        <v>3681</v>
      </c>
      <c r="BD308" s="3" t="s">
        <v>3682</v>
      </c>
    </row>
    <row r="309" spans="1:56" ht="44.25" customHeight="1" x14ac:dyDescent="0.25">
      <c r="A309" s="7" t="s">
        <v>61</v>
      </c>
      <c r="B309" s="2" t="s">
        <v>3683</v>
      </c>
      <c r="C309" s="2" t="s">
        <v>3684</v>
      </c>
      <c r="D309" s="2" t="s">
        <v>3685</v>
      </c>
      <c r="F309" s="3" t="s">
        <v>61</v>
      </c>
      <c r="G309" s="3" t="s">
        <v>60</v>
      </c>
      <c r="H309" s="3" t="s">
        <v>61</v>
      </c>
      <c r="I309" s="3" t="s">
        <v>61</v>
      </c>
      <c r="J309" s="3" t="s">
        <v>62</v>
      </c>
      <c r="L309" s="2" t="s">
        <v>3686</v>
      </c>
      <c r="M309" s="3" t="s">
        <v>1211</v>
      </c>
      <c r="O309" s="3" t="s">
        <v>114</v>
      </c>
      <c r="P309" s="3" t="s">
        <v>235</v>
      </c>
      <c r="R309" s="3" t="s">
        <v>68</v>
      </c>
      <c r="S309" s="4">
        <v>4</v>
      </c>
      <c r="T309" s="4">
        <v>4</v>
      </c>
      <c r="U309" s="5" t="s">
        <v>3687</v>
      </c>
      <c r="V309" s="5" t="s">
        <v>3687</v>
      </c>
      <c r="W309" s="5" t="s">
        <v>3688</v>
      </c>
      <c r="X309" s="5" t="s">
        <v>3688</v>
      </c>
      <c r="Y309" s="4">
        <v>348</v>
      </c>
      <c r="Z309" s="4">
        <v>333</v>
      </c>
      <c r="AA309" s="4">
        <v>432</v>
      </c>
      <c r="AB309" s="4">
        <v>5</v>
      </c>
      <c r="AC309" s="4">
        <v>6</v>
      </c>
      <c r="AD309" s="4">
        <v>17</v>
      </c>
      <c r="AE309" s="4">
        <v>20</v>
      </c>
      <c r="AF309" s="4">
        <v>7</v>
      </c>
      <c r="AG309" s="4">
        <v>7</v>
      </c>
      <c r="AH309" s="4">
        <v>4</v>
      </c>
      <c r="AI309" s="4">
        <v>5</v>
      </c>
      <c r="AJ309" s="4">
        <v>9</v>
      </c>
      <c r="AK309" s="4">
        <v>10</v>
      </c>
      <c r="AL309" s="4">
        <v>4</v>
      </c>
      <c r="AM309" s="4">
        <v>5</v>
      </c>
      <c r="AN309" s="4">
        <v>0</v>
      </c>
      <c r="AO309" s="4">
        <v>0</v>
      </c>
      <c r="AP309" s="3" t="s">
        <v>61</v>
      </c>
      <c r="AQ309" s="3" t="s">
        <v>59</v>
      </c>
      <c r="AR309" s="6" t="str">
        <f>HYPERLINK("http://catalog.hathitrust.org/Record/000592175","HathiTrust Record")</f>
        <v>HathiTrust Record</v>
      </c>
      <c r="AS309" s="6" t="str">
        <f>HYPERLINK("https://creighton-primo.hosted.exlibrisgroup.com/primo-explore/search?tab=default_tab&amp;search_scope=EVERYTHING&amp;vid=01CRU&amp;lang=en_US&amp;offset=0&amp;query=any,contains,991003293679702656","Catalog Record")</f>
        <v>Catalog Record</v>
      </c>
      <c r="AT309" s="6" t="str">
        <f>HYPERLINK("http://www.worldcat.org/oclc/815513","WorldCat Record")</f>
        <v>WorldCat Record</v>
      </c>
      <c r="AU309" s="3" t="s">
        <v>3689</v>
      </c>
      <c r="AV309" s="3" t="s">
        <v>3690</v>
      </c>
      <c r="AW309" s="3" t="s">
        <v>3691</v>
      </c>
      <c r="AX309" s="3" t="s">
        <v>3691</v>
      </c>
      <c r="AY309" s="3" t="s">
        <v>3692</v>
      </c>
      <c r="AZ309" s="3" t="s">
        <v>75</v>
      </c>
      <c r="BB309" s="3" t="s">
        <v>3693</v>
      </c>
      <c r="BC309" s="3" t="s">
        <v>3694</v>
      </c>
      <c r="BD309" s="3" t="s">
        <v>3695</v>
      </c>
    </row>
    <row r="310" spans="1:56" ht="44.25" customHeight="1" x14ac:dyDescent="0.25">
      <c r="A310" s="7" t="s">
        <v>61</v>
      </c>
      <c r="B310" s="2" t="s">
        <v>3696</v>
      </c>
      <c r="C310" s="2" t="s">
        <v>3697</v>
      </c>
      <c r="D310" s="2" t="s">
        <v>3698</v>
      </c>
      <c r="F310" s="3" t="s">
        <v>61</v>
      </c>
      <c r="G310" s="3" t="s">
        <v>60</v>
      </c>
      <c r="H310" s="3" t="s">
        <v>61</v>
      </c>
      <c r="I310" s="3" t="s">
        <v>61</v>
      </c>
      <c r="J310" s="3" t="s">
        <v>62</v>
      </c>
      <c r="L310" s="2" t="s">
        <v>3699</v>
      </c>
      <c r="M310" s="3" t="s">
        <v>796</v>
      </c>
      <c r="N310" s="2" t="s">
        <v>679</v>
      </c>
      <c r="O310" s="3" t="s">
        <v>114</v>
      </c>
      <c r="P310" s="3" t="s">
        <v>235</v>
      </c>
      <c r="R310" s="3" t="s">
        <v>68</v>
      </c>
      <c r="S310" s="4">
        <v>2</v>
      </c>
      <c r="T310" s="4">
        <v>2</v>
      </c>
      <c r="U310" s="5" t="s">
        <v>3700</v>
      </c>
      <c r="V310" s="5" t="s">
        <v>3700</v>
      </c>
      <c r="W310" s="5" t="s">
        <v>162</v>
      </c>
      <c r="X310" s="5" t="s">
        <v>162</v>
      </c>
      <c r="Y310" s="4">
        <v>485</v>
      </c>
      <c r="Z310" s="4">
        <v>453</v>
      </c>
      <c r="AA310" s="4">
        <v>477</v>
      </c>
      <c r="AB310" s="4">
        <v>2</v>
      </c>
      <c r="AC310" s="4">
        <v>2</v>
      </c>
      <c r="AD310" s="4">
        <v>4</v>
      </c>
      <c r="AE310" s="4">
        <v>4</v>
      </c>
      <c r="AF310" s="4">
        <v>3</v>
      </c>
      <c r="AG310" s="4">
        <v>3</v>
      </c>
      <c r="AH310" s="4">
        <v>1</v>
      </c>
      <c r="AI310" s="4">
        <v>1</v>
      </c>
      <c r="AJ310" s="4">
        <v>2</v>
      </c>
      <c r="AK310" s="4">
        <v>2</v>
      </c>
      <c r="AL310" s="4">
        <v>0</v>
      </c>
      <c r="AM310" s="4">
        <v>0</v>
      </c>
      <c r="AN310" s="4">
        <v>0</v>
      </c>
      <c r="AO310" s="4">
        <v>0</v>
      </c>
      <c r="AP310" s="3" t="s">
        <v>61</v>
      </c>
      <c r="AQ310" s="3" t="s">
        <v>61</v>
      </c>
      <c r="AS310" s="6" t="str">
        <f>HYPERLINK("https://creighton-primo.hosted.exlibrisgroup.com/primo-explore/search?tab=default_tab&amp;search_scope=EVERYTHING&amp;vid=01CRU&amp;lang=en_US&amp;offset=0&amp;query=any,contains,991001075309702656","Catalog Record")</f>
        <v>Catalog Record</v>
      </c>
      <c r="AT310" s="6" t="str">
        <f>HYPERLINK("http://www.worldcat.org/oclc/16005887","WorldCat Record")</f>
        <v>WorldCat Record</v>
      </c>
      <c r="AU310" s="3" t="s">
        <v>3701</v>
      </c>
      <c r="AV310" s="3" t="s">
        <v>3702</v>
      </c>
      <c r="AW310" s="3" t="s">
        <v>3703</v>
      </c>
      <c r="AX310" s="3" t="s">
        <v>3703</v>
      </c>
      <c r="AY310" s="3" t="s">
        <v>3704</v>
      </c>
      <c r="AZ310" s="3" t="s">
        <v>75</v>
      </c>
      <c r="BB310" s="3" t="s">
        <v>3705</v>
      </c>
      <c r="BC310" s="3" t="s">
        <v>3706</v>
      </c>
      <c r="BD310" s="3" t="s">
        <v>3707</v>
      </c>
    </row>
    <row r="311" spans="1:56" ht="44.25" customHeight="1" x14ac:dyDescent="0.25">
      <c r="A311" s="7" t="s">
        <v>61</v>
      </c>
      <c r="B311" s="2" t="s">
        <v>3708</v>
      </c>
      <c r="C311" s="2" t="s">
        <v>3709</v>
      </c>
      <c r="D311" s="2" t="s">
        <v>3710</v>
      </c>
      <c r="F311" s="3" t="s">
        <v>61</v>
      </c>
      <c r="G311" s="3" t="s">
        <v>60</v>
      </c>
      <c r="H311" s="3" t="s">
        <v>61</v>
      </c>
      <c r="I311" s="3" t="s">
        <v>61</v>
      </c>
      <c r="J311" s="3" t="s">
        <v>62</v>
      </c>
      <c r="K311" s="2" t="s">
        <v>3711</v>
      </c>
      <c r="L311" s="2" t="s">
        <v>3712</v>
      </c>
      <c r="M311" s="3" t="s">
        <v>3713</v>
      </c>
      <c r="O311" s="3" t="s">
        <v>114</v>
      </c>
      <c r="P311" s="3" t="s">
        <v>235</v>
      </c>
      <c r="Q311" s="2" t="s">
        <v>3714</v>
      </c>
      <c r="R311" s="3" t="s">
        <v>68</v>
      </c>
      <c r="S311" s="4">
        <v>6</v>
      </c>
      <c r="T311" s="4">
        <v>6</v>
      </c>
      <c r="U311" s="5" t="s">
        <v>1730</v>
      </c>
      <c r="V311" s="5" t="s">
        <v>1730</v>
      </c>
      <c r="W311" s="5" t="s">
        <v>3353</v>
      </c>
      <c r="X311" s="5" t="s">
        <v>3353</v>
      </c>
      <c r="Y311" s="4">
        <v>123</v>
      </c>
      <c r="Z311" s="4">
        <v>112</v>
      </c>
      <c r="AA311" s="4">
        <v>773</v>
      </c>
      <c r="AB311" s="4">
        <v>3</v>
      </c>
      <c r="AC311" s="4">
        <v>8</v>
      </c>
      <c r="AD311" s="4">
        <v>5</v>
      </c>
      <c r="AE311" s="4">
        <v>35</v>
      </c>
      <c r="AF311" s="4">
        <v>2</v>
      </c>
      <c r="AG311" s="4">
        <v>14</v>
      </c>
      <c r="AH311" s="4">
        <v>1</v>
      </c>
      <c r="AI311" s="4">
        <v>9</v>
      </c>
      <c r="AJ311" s="4">
        <v>1</v>
      </c>
      <c r="AK311" s="4">
        <v>15</v>
      </c>
      <c r="AL311" s="4">
        <v>1</v>
      </c>
      <c r="AM311" s="4">
        <v>5</v>
      </c>
      <c r="AN311" s="4">
        <v>0</v>
      </c>
      <c r="AO311" s="4">
        <v>0</v>
      </c>
      <c r="AP311" s="3" t="s">
        <v>59</v>
      </c>
      <c r="AQ311" s="3" t="s">
        <v>61</v>
      </c>
      <c r="AR311" s="6" t="str">
        <f>HYPERLINK("http://catalog.hathitrust.org/Record/009560049","HathiTrust Record")</f>
        <v>HathiTrust Record</v>
      </c>
      <c r="AS311" s="6" t="str">
        <f>HYPERLINK("https://creighton-primo.hosted.exlibrisgroup.com/primo-explore/search?tab=default_tab&amp;search_scope=EVERYTHING&amp;vid=01CRU&amp;lang=en_US&amp;offset=0&amp;query=any,contains,991003576739702656","Catalog Record")</f>
        <v>Catalog Record</v>
      </c>
      <c r="AT311" s="6" t="str">
        <f>HYPERLINK("http://www.worldcat.org/oclc/1155928","WorldCat Record")</f>
        <v>WorldCat Record</v>
      </c>
      <c r="AU311" s="3" t="s">
        <v>3715</v>
      </c>
      <c r="AV311" s="3" t="s">
        <v>3716</v>
      </c>
      <c r="AW311" s="3" t="s">
        <v>3717</v>
      </c>
      <c r="AX311" s="3" t="s">
        <v>3717</v>
      </c>
      <c r="AY311" s="3" t="s">
        <v>3718</v>
      </c>
      <c r="AZ311" s="3" t="s">
        <v>75</v>
      </c>
      <c r="BC311" s="3" t="s">
        <v>3719</v>
      </c>
      <c r="BD311" s="3" t="s">
        <v>3720</v>
      </c>
    </row>
    <row r="312" spans="1:56" ht="44.25" customHeight="1" x14ac:dyDescent="0.25">
      <c r="A312" s="7" t="s">
        <v>61</v>
      </c>
      <c r="B312" s="2" t="s">
        <v>3721</v>
      </c>
      <c r="C312" s="2" t="s">
        <v>3722</v>
      </c>
      <c r="D312" s="2" t="s">
        <v>3723</v>
      </c>
      <c r="F312" s="3" t="s">
        <v>61</v>
      </c>
      <c r="G312" s="3" t="s">
        <v>60</v>
      </c>
      <c r="H312" s="3" t="s">
        <v>61</v>
      </c>
      <c r="I312" s="3" t="s">
        <v>61</v>
      </c>
      <c r="J312" s="3" t="s">
        <v>62</v>
      </c>
      <c r="K312" s="2" t="s">
        <v>3724</v>
      </c>
      <c r="L312" s="2" t="s">
        <v>3725</v>
      </c>
      <c r="M312" s="3" t="s">
        <v>755</v>
      </c>
      <c r="O312" s="3" t="s">
        <v>114</v>
      </c>
      <c r="P312" s="3" t="s">
        <v>437</v>
      </c>
      <c r="R312" s="3" t="s">
        <v>68</v>
      </c>
      <c r="S312" s="4">
        <v>6</v>
      </c>
      <c r="T312" s="4">
        <v>6</v>
      </c>
      <c r="U312" s="5" t="s">
        <v>3726</v>
      </c>
      <c r="V312" s="5" t="s">
        <v>3726</v>
      </c>
      <c r="W312" s="5" t="s">
        <v>3727</v>
      </c>
      <c r="X312" s="5" t="s">
        <v>3727</v>
      </c>
      <c r="Y312" s="4">
        <v>688</v>
      </c>
      <c r="Z312" s="4">
        <v>625</v>
      </c>
      <c r="AA312" s="4">
        <v>667</v>
      </c>
      <c r="AB312" s="4">
        <v>5</v>
      </c>
      <c r="AC312" s="4">
        <v>5</v>
      </c>
      <c r="AD312" s="4">
        <v>27</v>
      </c>
      <c r="AE312" s="4">
        <v>28</v>
      </c>
      <c r="AF312" s="4">
        <v>9</v>
      </c>
      <c r="AG312" s="4">
        <v>9</v>
      </c>
      <c r="AH312" s="4">
        <v>7</v>
      </c>
      <c r="AI312" s="4">
        <v>8</v>
      </c>
      <c r="AJ312" s="4">
        <v>17</v>
      </c>
      <c r="AK312" s="4">
        <v>18</v>
      </c>
      <c r="AL312" s="4">
        <v>4</v>
      </c>
      <c r="AM312" s="4">
        <v>4</v>
      </c>
      <c r="AN312" s="4">
        <v>0</v>
      </c>
      <c r="AO312" s="4">
        <v>0</v>
      </c>
      <c r="AP312" s="3" t="s">
        <v>61</v>
      </c>
      <c r="AQ312" s="3" t="s">
        <v>61</v>
      </c>
      <c r="AS312" s="6" t="str">
        <f>HYPERLINK("https://creighton-primo.hosted.exlibrisgroup.com/primo-explore/search?tab=default_tab&amp;search_scope=EVERYTHING&amp;vid=01CRU&amp;lang=en_US&amp;offset=0&amp;query=any,contains,991002181179702656","Catalog Record")</f>
        <v>Catalog Record</v>
      </c>
      <c r="AT312" s="6" t="str">
        <f>HYPERLINK("http://www.worldcat.org/oclc/279086","WorldCat Record")</f>
        <v>WorldCat Record</v>
      </c>
      <c r="AU312" s="3" t="s">
        <v>3728</v>
      </c>
      <c r="AV312" s="3" t="s">
        <v>3729</v>
      </c>
      <c r="AW312" s="3" t="s">
        <v>3730</v>
      </c>
      <c r="AX312" s="3" t="s">
        <v>3730</v>
      </c>
      <c r="AY312" s="3" t="s">
        <v>3731</v>
      </c>
      <c r="AZ312" s="3" t="s">
        <v>75</v>
      </c>
      <c r="BB312" s="3" t="s">
        <v>3732</v>
      </c>
      <c r="BC312" s="3" t="s">
        <v>3733</v>
      </c>
      <c r="BD312" s="3" t="s">
        <v>3734</v>
      </c>
    </row>
    <row r="313" spans="1:56" ht="44.25" customHeight="1" x14ac:dyDescent="0.25">
      <c r="A313" s="7" t="s">
        <v>61</v>
      </c>
      <c r="B313" s="2" t="s">
        <v>3735</v>
      </c>
      <c r="C313" s="2" t="s">
        <v>3736</v>
      </c>
      <c r="D313" s="2" t="s">
        <v>3737</v>
      </c>
      <c r="F313" s="3" t="s">
        <v>61</v>
      </c>
      <c r="G313" s="3" t="s">
        <v>60</v>
      </c>
      <c r="H313" s="3" t="s">
        <v>61</v>
      </c>
      <c r="I313" s="3" t="s">
        <v>61</v>
      </c>
      <c r="J313" s="3" t="s">
        <v>62</v>
      </c>
      <c r="K313" s="2" t="s">
        <v>3589</v>
      </c>
      <c r="L313" s="2" t="s">
        <v>3738</v>
      </c>
      <c r="M313" s="3" t="s">
        <v>1211</v>
      </c>
      <c r="O313" s="3" t="s">
        <v>114</v>
      </c>
      <c r="P313" s="3" t="s">
        <v>1114</v>
      </c>
      <c r="R313" s="3" t="s">
        <v>68</v>
      </c>
      <c r="S313" s="4">
        <v>8</v>
      </c>
      <c r="T313" s="4">
        <v>8</v>
      </c>
      <c r="U313" s="5" t="s">
        <v>3739</v>
      </c>
      <c r="V313" s="5" t="s">
        <v>3739</v>
      </c>
      <c r="W313" s="5" t="s">
        <v>265</v>
      </c>
      <c r="X313" s="5" t="s">
        <v>265</v>
      </c>
      <c r="Y313" s="4">
        <v>302</v>
      </c>
      <c r="Z313" s="4">
        <v>214</v>
      </c>
      <c r="AA313" s="4">
        <v>220</v>
      </c>
      <c r="AB313" s="4">
        <v>2</v>
      </c>
      <c r="AC313" s="4">
        <v>2</v>
      </c>
      <c r="AD313" s="4">
        <v>5</v>
      </c>
      <c r="AE313" s="4">
        <v>5</v>
      </c>
      <c r="AF313" s="4">
        <v>0</v>
      </c>
      <c r="AG313" s="4">
        <v>0</v>
      </c>
      <c r="AH313" s="4">
        <v>2</v>
      </c>
      <c r="AI313" s="4">
        <v>2</v>
      </c>
      <c r="AJ313" s="4">
        <v>3</v>
      </c>
      <c r="AK313" s="4">
        <v>3</v>
      </c>
      <c r="AL313" s="4">
        <v>1</v>
      </c>
      <c r="AM313" s="4">
        <v>1</v>
      </c>
      <c r="AN313" s="4">
        <v>0</v>
      </c>
      <c r="AO313" s="4">
        <v>0</v>
      </c>
      <c r="AP313" s="3" t="s">
        <v>61</v>
      </c>
      <c r="AQ313" s="3" t="s">
        <v>59</v>
      </c>
      <c r="AR313" s="6" t="str">
        <f>HYPERLINK("http://catalog.hathitrust.org/Record/006025522","HathiTrust Record")</f>
        <v>HathiTrust Record</v>
      </c>
      <c r="AS313" s="6" t="str">
        <f>HYPERLINK("https://creighton-primo.hosted.exlibrisgroup.com/primo-explore/search?tab=default_tab&amp;search_scope=EVERYTHING&amp;vid=01CRU&amp;lang=en_US&amp;offset=0&amp;query=any,contains,991003005719702656","Catalog Record")</f>
        <v>Catalog Record</v>
      </c>
      <c r="AT313" s="6" t="str">
        <f>HYPERLINK("http://www.worldcat.org/oclc/572849","WorldCat Record")</f>
        <v>WorldCat Record</v>
      </c>
      <c r="AU313" s="3" t="s">
        <v>3740</v>
      </c>
      <c r="AV313" s="3" t="s">
        <v>3741</v>
      </c>
      <c r="AW313" s="3" t="s">
        <v>3742</v>
      </c>
      <c r="AX313" s="3" t="s">
        <v>3742</v>
      </c>
      <c r="AY313" s="3" t="s">
        <v>3743</v>
      </c>
      <c r="AZ313" s="3" t="s">
        <v>75</v>
      </c>
      <c r="BB313" s="3" t="s">
        <v>3744</v>
      </c>
      <c r="BC313" s="3" t="s">
        <v>3745</v>
      </c>
      <c r="BD313" s="3" t="s">
        <v>3746</v>
      </c>
    </row>
    <row r="314" spans="1:56" ht="44.25" customHeight="1" x14ac:dyDescent="0.25">
      <c r="A314" s="7" t="s">
        <v>61</v>
      </c>
      <c r="B314" s="2" t="s">
        <v>3747</v>
      </c>
      <c r="C314" s="2" t="s">
        <v>3748</v>
      </c>
      <c r="D314" s="2" t="s">
        <v>3749</v>
      </c>
      <c r="F314" s="3" t="s">
        <v>61</v>
      </c>
      <c r="G314" s="3" t="s">
        <v>60</v>
      </c>
      <c r="H314" s="3" t="s">
        <v>61</v>
      </c>
      <c r="I314" s="3" t="s">
        <v>59</v>
      </c>
      <c r="J314" s="3" t="s">
        <v>62</v>
      </c>
      <c r="K314" s="2" t="s">
        <v>3750</v>
      </c>
      <c r="L314" s="2" t="s">
        <v>3751</v>
      </c>
      <c r="M314" s="3" t="s">
        <v>466</v>
      </c>
      <c r="O314" s="3" t="s">
        <v>114</v>
      </c>
      <c r="P314" s="3" t="s">
        <v>192</v>
      </c>
      <c r="Q314" s="2" t="s">
        <v>3752</v>
      </c>
      <c r="R314" s="3" t="s">
        <v>68</v>
      </c>
      <c r="S314" s="4">
        <v>11</v>
      </c>
      <c r="T314" s="4">
        <v>11</v>
      </c>
      <c r="U314" s="5" t="s">
        <v>3753</v>
      </c>
      <c r="V314" s="5" t="s">
        <v>3753</v>
      </c>
      <c r="W314" s="5" t="s">
        <v>2699</v>
      </c>
      <c r="X314" s="5" t="s">
        <v>2699</v>
      </c>
      <c r="Y314" s="4">
        <v>724</v>
      </c>
      <c r="Z314" s="4">
        <v>488</v>
      </c>
      <c r="AA314" s="4">
        <v>682</v>
      </c>
      <c r="AB314" s="4">
        <v>6</v>
      </c>
      <c r="AC314" s="4">
        <v>7</v>
      </c>
      <c r="AD314" s="4">
        <v>18</v>
      </c>
      <c r="AE314" s="4">
        <v>25</v>
      </c>
      <c r="AF314" s="4">
        <v>6</v>
      </c>
      <c r="AG314" s="4">
        <v>7</v>
      </c>
      <c r="AH314" s="4">
        <v>6</v>
      </c>
      <c r="AI314" s="4">
        <v>7</v>
      </c>
      <c r="AJ314" s="4">
        <v>10</v>
      </c>
      <c r="AK314" s="4">
        <v>15</v>
      </c>
      <c r="AL314" s="4">
        <v>4</v>
      </c>
      <c r="AM314" s="4">
        <v>5</v>
      </c>
      <c r="AN314" s="4">
        <v>0</v>
      </c>
      <c r="AO314" s="4">
        <v>0</v>
      </c>
      <c r="AP314" s="3" t="s">
        <v>61</v>
      </c>
      <c r="AQ314" s="3" t="s">
        <v>59</v>
      </c>
      <c r="AR314" s="6" t="str">
        <f>HYPERLINK("http://catalog.hathitrust.org/Record/000176609","HathiTrust Record")</f>
        <v>HathiTrust Record</v>
      </c>
      <c r="AS314" s="6" t="str">
        <f>HYPERLINK("https://creighton-primo.hosted.exlibrisgroup.com/primo-explore/search?tab=default_tab&amp;search_scope=EVERYTHING&amp;vid=01CRU&amp;lang=en_US&amp;offset=0&amp;query=any,contains,991004564649702656","Catalog Record")</f>
        <v>Catalog Record</v>
      </c>
      <c r="AT314" s="6" t="str">
        <f>HYPERLINK("http://www.worldcat.org/oclc/4004203","WorldCat Record")</f>
        <v>WorldCat Record</v>
      </c>
      <c r="AU314" s="3" t="s">
        <v>3754</v>
      </c>
      <c r="AV314" s="3" t="s">
        <v>3755</v>
      </c>
      <c r="AW314" s="3" t="s">
        <v>3756</v>
      </c>
      <c r="AX314" s="3" t="s">
        <v>3756</v>
      </c>
      <c r="AY314" s="3" t="s">
        <v>3757</v>
      </c>
      <c r="AZ314" s="3" t="s">
        <v>75</v>
      </c>
      <c r="BB314" s="3" t="s">
        <v>3758</v>
      </c>
      <c r="BC314" s="3" t="s">
        <v>3759</v>
      </c>
      <c r="BD314" s="3" t="s">
        <v>3760</v>
      </c>
    </row>
    <row r="315" spans="1:56" ht="44.25" customHeight="1" x14ac:dyDescent="0.25">
      <c r="A315" s="7" t="s">
        <v>61</v>
      </c>
      <c r="B315" s="2" t="s">
        <v>3761</v>
      </c>
      <c r="C315" s="2" t="s">
        <v>3762</v>
      </c>
      <c r="D315" s="2" t="s">
        <v>3749</v>
      </c>
      <c r="F315" s="3" t="s">
        <v>61</v>
      </c>
      <c r="G315" s="3" t="s">
        <v>60</v>
      </c>
      <c r="H315" s="3" t="s">
        <v>61</v>
      </c>
      <c r="I315" s="3" t="s">
        <v>59</v>
      </c>
      <c r="J315" s="3" t="s">
        <v>62</v>
      </c>
      <c r="K315" s="2" t="s">
        <v>3750</v>
      </c>
      <c r="L315" s="2" t="s">
        <v>3763</v>
      </c>
      <c r="M315" s="3" t="s">
        <v>605</v>
      </c>
      <c r="N315" s="2" t="s">
        <v>2877</v>
      </c>
      <c r="O315" s="3" t="s">
        <v>114</v>
      </c>
      <c r="P315" s="3" t="s">
        <v>192</v>
      </c>
      <c r="Q315" s="2" t="s">
        <v>3752</v>
      </c>
      <c r="R315" s="3" t="s">
        <v>68</v>
      </c>
      <c r="S315" s="4">
        <v>4</v>
      </c>
      <c r="T315" s="4">
        <v>4</v>
      </c>
      <c r="U315" s="5" t="s">
        <v>3764</v>
      </c>
      <c r="V315" s="5" t="s">
        <v>3764</v>
      </c>
      <c r="W315" s="5" t="s">
        <v>3765</v>
      </c>
      <c r="X315" s="5" t="s">
        <v>3765</v>
      </c>
      <c r="Y315" s="4">
        <v>448</v>
      </c>
      <c r="Z315" s="4">
        <v>279</v>
      </c>
      <c r="AA315" s="4">
        <v>682</v>
      </c>
      <c r="AB315" s="4">
        <v>3</v>
      </c>
      <c r="AC315" s="4">
        <v>7</v>
      </c>
      <c r="AD315" s="4">
        <v>14</v>
      </c>
      <c r="AE315" s="4">
        <v>25</v>
      </c>
      <c r="AF315" s="4">
        <v>3</v>
      </c>
      <c r="AG315" s="4">
        <v>7</v>
      </c>
      <c r="AH315" s="4">
        <v>3</v>
      </c>
      <c r="AI315" s="4">
        <v>7</v>
      </c>
      <c r="AJ315" s="4">
        <v>11</v>
      </c>
      <c r="AK315" s="4">
        <v>15</v>
      </c>
      <c r="AL315" s="4">
        <v>2</v>
      </c>
      <c r="AM315" s="4">
        <v>5</v>
      </c>
      <c r="AN315" s="4">
        <v>0</v>
      </c>
      <c r="AO315" s="4">
        <v>0</v>
      </c>
      <c r="AP315" s="3" t="s">
        <v>61</v>
      </c>
      <c r="AQ315" s="3" t="s">
        <v>61</v>
      </c>
      <c r="AS315" s="6" t="str">
        <f>HYPERLINK("https://creighton-primo.hosted.exlibrisgroup.com/primo-explore/search?tab=default_tab&amp;search_scope=EVERYTHING&amp;vid=01CRU&amp;lang=en_US&amp;offset=0&amp;query=any,contains,991004119529702656","Catalog Record")</f>
        <v>Catalog Record</v>
      </c>
      <c r="AT315" s="6" t="str">
        <f>HYPERLINK("http://www.worldcat.org/oclc/27413350","WorldCat Record")</f>
        <v>WorldCat Record</v>
      </c>
      <c r="AU315" s="3" t="s">
        <v>3754</v>
      </c>
      <c r="AV315" s="3" t="s">
        <v>3766</v>
      </c>
      <c r="AW315" s="3" t="s">
        <v>3767</v>
      </c>
      <c r="AX315" s="3" t="s">
        <v>3767</v>
      </c>
      <c r="AY315" s="3" t="s">
        <v>3768</v>
      </c>
      <c r="AZ315" s="3" t="s">
        <v>75</v>
      </c>
      <c r="BB315" s="3" t="s">
        <v>3769</v>
      </c>
      <c r="BC315" s="3" t="s">
        <v>3770</v>
      </c>
      <c r="BD315" s="3" t="s">
        <v>3771</v>
      </c>
    </row>
    <row r="316" spans="1:56" ht="44.25" customHeight="1" x14ac:dyDescent="0.25">
      <c r="A316" s="7" t="s">
        <v>61</v>
      </c>
      <c r="B316" s="2" t="s">
        <v>3772</v>
      </c>
      <c r="C316" s="2" t="s">
        <v>3773</v>
      </c>
      <c r="D316" s="2" t="s">
        <v>3774</v>
      </c>
      <c r="F316" s="3" t="s">
        <v>61</v>
      </c>
      <c r="G316" s="3" t="s">
        <v>60</v>
      </c>
      <c r="H316" s="3" t="s">
        <v>61</v>
      </c>
      <c r="I316" s="3" t="s">
        <v>61</v>
      </c>
      <c r="J316" s="3" t="s">
        <v>62</v>
      </c>
      <c r="K316" s="2" t="s">
        <v>3775</v>
      </c>
      <c r="L316" s="2" t="s">
        <v>3776</v>
      </c>
      <c r="M316" s="3" t="s">
        <v>234</v>
      </c>
      <c r="O316" s="3" t="s">
        <v>114</v>
      </c>
      <c r="P316" s="3" t="s">
        <v>192</v>
      </c>
      <c r="R316" s="3" t="s">
        <v>68</v>
      </c>
      <c r="S316" s="4">
        <v>14</v>
      </c>
      <c r="T316" s="4">
        <v>14</v>
      </c>
      <c r="U316" s="5" t="s">
        <v>3739</v>
      </c>
      <c r="V316" s="5" t="s">
        <v>3739</v>
      </c>
      <c r="W316" s="5" t="s">
        <v>2699</v>
      </c>
      <c r="X316" s="5" t="s">
        <v>2699</v>
      </c>
      <c r="Y316" s="4">
        <v>817</v>
      </c>
      <c r="Z316" s="4">
        <v>588</v>
      </c>
      <c r="AA316" s="4">
        <v>614</v>
      </c>
      <c r="AB316" s="4">
        <v>6</v>
      </c>
      <c r="AC316" s="4">
        <v>6</v>
      </c>
      <c r="AD316" s="4">
        <v>34</v>
      </c>
      <c r="AE316" s="4">
        <v>34</v>
      </c>
      <c r="AF316" s="4">
        <v>14</v>
      </c>
      <c r="AG316" s="4">
        <v>14</v>
      </c>
      <c r="AH316" s="4">
        <v>8</v>
      </c>
      <c r="AI316" s="4">
        <v>8</v>
      </c>
      <c r="AJ316" s="4">
        <v>16</v>
      </c>
      <c r="AK316" s="4">
        <v>16</v>
      </c>
      <c r="AL316" s="4">
        <v>5</v>
      </c>
      <c r="AM316" s="4">
        <v>5</v>
      </c>
      <c r="AN316" s="4">
        <v>0</v>
      </c>
      <c r="AO316" s="4">
        <v>0</v>
      </c>
      <c r="AP316" s="3" t="s">
        <v>61</v>
      </c>
      <c r="AQ316" s="3" t="s">
        <v>59</v>
      </c>
      <c r="AR316" s="6" t="str">
        <f>HYPERLINK("http://catalog.hathitrust.org/Record/000569477","HathiTrust Record")</f>
        <v>HathiTrust Record</v>
      </c>
      <c r="AS316" s="6" t="str">
        <f>HYPERLINK("https://creighton-primo.hosted.exlibrisgroup.com/primo-explore/search?tab=default_tab&amp;search_scope=EVERYTHING&amp;vid=01CRU&amp;lang=en_US&amp;offset=0&amp;query=any,contains,991005216259702656","Catalog Record")</f>
        <v>Catalog Record</v>
      </c>
      <c r="AT316" s="6" t="str">
        <f>HYPERLINK("http://www.worldcat.org/oclc/8194784","WorldCat Record")</f>
        <v>WorldCat Record</v>
      </c>
      <c r="AU316" s="3" t="s">
        <v>3777</v>
      </c>
      <c r="AV316" s="3" t="s">
        <v>3778</v>
      </c>
      <c r="AW316" s="3" t="s">
        <v>3779</v>
      </c>
      <c r="AX316" s="3" t="s">
        <v>3779</v>
      </c>
      <c r="AY316" s="3" t="s">
        <v>3780</v>
      </c>
      <c r="AZ316" s="3" t="s">
        <v>75</v>
      </c>
      <c r="BB316" s="3" t="s">
        <v>3781</v>
      </c>
      <c r="BC316" s="3" t="s">
        <v>3782</v>
      </c>
      <c r="BD316" s="3" t="s">
        <v>3783</v>
      </c>
    </row>
    <row r="317" spans="1:56" ht="44.25" customHeight="1" x14ac:dyDescent="0.25">
      <c r="A317" s="7" t="s">
        <v>61</v>
      </c>
      <c r="B317" s="2" t="s">
        <v>3784</v>
      </c>
      <c r="C317" s="2" t="s">
        <v>3785</v>
      </c>
      <c r="D317" s="2" t="s">
        <v>3786</v>
      </c>
      <c r="F317" s="3" t="s">
        <v>61</v>
      </c>
      <c r="G317" s="3" t="s">
        <v>60</v>
      </c>
      <c r="H317" s="3" t="s">
        <v>61</v>
      </c>
      <c r="I317" s="3" t="s">
        <v>61</v>
      </c>
      <c r="J317" s="3" t="s">
        <v>62</v>
      </c>
      <c r="K317" s="2" t="s">
        <v>3787</v>
      </c>
      <c r="L317" s="2" t="s">
        <v>3788</v>
      </c>
      <c r="M317" s="3" t="s">
        <v>305</v>
      </c>
      <c r="O317" s="3" t="s">
        <v>114</v>
      </c>
      <c r="P317" s="3" t="s">
        <v>235</v>
      </c>
      <c r="R317" s="3" t="s">
        <v>68</v>
      </c>
      <c r="S317" s="4">
        <v>2</v>
      </c>
      <c r="T317" s="4">
        <v>2</v>
      </c>
      <c r="U317" s="5" t="s">
        <v>3789</v>
      </c>
      <c r="V317" s="5" t="s">
        <v>3789</v>
      </c>
      <c r="W317" s="5" t="s">
        <v>3790</v>
      </c>
      <c r="X317" s="5" t="s">
        <v>3790</v>
      </c>
      <c r="Y317" s="4">
        <v>567</v>
      </c>
      <c r="Z317" s="4">
        <v>559</v>
      </c>
      <c r="AA317" s="4">
        <v>705</v>
      </c>
      <c r="AB317" s="4">
        <v>3</v>
      </c>
      <c r="AC317" s="4">
        <v>4</v>
      </c>
      <c r="AD317" s="4">
        <v>28</v>
      </c>
      <c r="AE317" s="4">
        <v>34</v>
      </c>
      <c r="AF317" s="4">
        <v>12</v>
      </c>
      <c r="AG317" s="4">
        <v>13</v>
      </c>
      <c r="AH317" s="4">
        <v>6</v>
      </c>
      <c r="AI317" s="4">
        <v>7</v>
      </c>
      <c r="AJ317" s="4">
        <v>18</v>
      </c>
      <c r="AK317" s="4">
        <v>21</v>
      </c>
      <c r="AL317" s="4">
        <v>2</v>
      </c>
      <c r="AM317" s="4">
        <v>3</v>
      </c>
      <c r="AN317" s="4">
        <v>0</v>
      </c>
      <c r="AO317" s="4">
        <v>0</v>
      </c>
      <c r="AP317" s="3" t="s">
        <v>61</v>
      </c>
      <c r="AQ317" s="3" t="s">
        <v>61</v>
      </c>
      <c r="AS317" s="6" t="str">
        <f>HYPERLINK("https://creighton-primo.hosted.exlibrisgroup.com/primo-explore/search?tab=default_tab&amp;search_scope=EVERYTHING&amp;vid=01CRU&amp;lang=en_US&amp;offset=0&amp;query=any,contains,991002661979702656","Catalog Record")</f>
        <v>Catalog Record</v>
      </c>
      <c r="AT317" s="6" t="str">
        <f>HYPERLINK("http://www.worldcat.org/oclc/391806","WorldCat Record")</f>
        <v>WorldCat Record</v>
      </c>
      <c r="AU317" s="3" t="s">
        <v>3791</v>
      </c>
      <c r="AV317" s="3" t="s">
        <v>3792</v>
      </c>
      <c r="AW317" s="3" t="s">
        <v>3793</v>
      </c>
      <c r="AX317" s="3" t="s">
        <v>3793</v>
      </c>
      <c r="AY317" s="3" t="s">
        <v>3794</v>
      </c>
      <c r="AZ317" s="3" t="s">
        <v>75</v>
      </c>
      <c r="BC317" s="3" t="s">
        <v>3795</v>
      </c>
      <c r="BD317" s="3" t="s">
        <v>3796</v>
      </c>
    </row>
    <row r="318" spans="1:56" ht="44.25" customHeight="1" x14ac:dyDescent="0.25">
      <c r="A318" s="7" t="s">
        <v>61</v>
      </c>
      <c r="B318" s="2" t="s">
        <v>3797</v>
      </c>
      <c r="C318" s="2" t="s">
        <v>3798</v>
      </c>
      <c r="D318" s="2" t="s">
        <v>3799</v>
      </c>
      <c r="F318" s="3" t="s">
        <v>61</v>
      </c>
      <c r="G318" s="3" t="s">
        <v>60</v>
      </c>
      <c r="H318" s="3" t="s">
        <v>61</v>
      </c>
      <c r="I318" s="3" t="s">
        <v>61</v>
      </c>
      <c r="J318" s="3" t="s">
        <v>62</v>
      </c>
      <c r="K318" s="2" t="s">
        <v>3775</v>
      </c>
      <c r="L318" s="2" t="s">
        <v>3800</v>
      </c>
      <c r="M318" s="3" t="s">
        <v>2281</v>
      </c>
      <c r="O318" s="3" t="s">
        <v>114</v>
      </c>
      <c r="P318" s="3" t="s">
        <v>192</v>
      </c>
      <c r="Q318" s="2" t="s">
        <v>3801</v>
      </c>
      <c r="R318" s="3" t="s">
        <v>68</v>
      </c>
      <c r="S318" s="4">
        <v>3</v>
      </c>
      <c r="T318" s="4">
        <v>3</v>
      </c>
      <c r="U318" s="5" t="s">
        <v>3802</v>
      </c>
      <c r="V318" s="5" t="s">
        <v>3802</v>
      </c>
      <c r="W318" s="5" t="s">
        <v>1732</v>
      </c>
      <c r="X318" s="5" t="s">
        <v>1732</v>
      </c>
      <c r="Y318" s="4">
        <v>601</v>
      </c>
      <c r="Z318" s="4">
        <v>460</v>
      </c>
      <c r="AA318" s="4">
        <v>461</v>
      </c>
      <c r="AB318" s="4">
        <v>5</v>
      </c>
      <c r="AC318" s="4">
        <v>5</v>
      </c>
      <c r="AD318" s="4">
        <v>21</v>
      </c>
      <c r="AE318" s="4">
        <v>21</v>
      </c>
      <c r="AF318" s="4">
        <v>4</v>
      </c>
      <c r="AG318" s="4">
        <v>4</v>
      </c>
      <c r="AH318" s="4">
        <v>9</v>
      </c>
      <c r="AI318" s="4">
        <v>9</v>
      </c>
      <c r="AJ318" s="4">
        <v>10</v>
      </c>
      <c r="AK318" s="4">
        <v>10</v>
      </c>
      <c r="AL318" s="4">
        <v>4</v>
      </c>
      <c r="AM318" s="4">
        <v>4</v>
      </c>
      <c r="AN318" s="4">
        <v>0</v>
      </c>
      <c r="AO318" s="4">
        <v>0</v>
      </c>
      <c r="AP318" s="3" t="s">
        <v>61</v>
      </c>
      <c r="AQ318" s="3" t="s">
        <v>61</v>
      </c>
      <c r="AS318" s="6" t="str">
        <f>HYPERLINK("https://creighton-primo.hosted.exlibrisgroup.com/primo-explore/search?tab=default_tab&amp;search_scope=EVERYTHING&amp;vid=01CRU&amp;lang=en_US&amp;offset=0&amp;query=any,contains,991004500779702656","Catalog Record")</f>
        <v>Catalog Record</v>
      </c>
      <c r="AT318" s="6" t="str">
        <f>HYPERLINK("http://www.worldcat.org/oclc/3716509","WorldCat Record")</f>
        <v>WorldCat Record</v>
      </c>
      <c r="AU318" s="3" t="s">
        <v>3803</v>
      </c>
      <c r="AV318" s="3" t="s">
        <v>3804</v>
      </c>
      <c r="AW318" s="3" t="s">
        <v>3805</v>
      </c>
      <c r="AX318" s="3" t="s">
        <v>3805</v>
      </c>
      <c r="AY318" s="3" t="s">
        <v>3806</v>
      </c>
      <c r="AZ318" s="3" t="s">
        <v>75</v>
      </c>
      <c r="BB318" s="3" t="s">
        <v>3807</v>
      </c>
      <c r="BC318" s="3" t="s">
        <v>3808</v>
      </c>
      <c r="BD318" s="3" t="s">
        <v>3809</v>
      </c>
    </row>
    <row r="319" spans="1:56" ht="44.25" customHeight="1" x14ac:dyDescent="0.25">
      <c r="A319" s="7" t="s">
        <v>61</v>
      </c>
      <c r="B319" s="2" t="s">
        <v>3810</v>
      </c>
      <c r="C319" s="2" t="s">
        <v>3811</v>
      </c>
      <c r="D319" s="2" t="s">
        <v>3812</v>
      </c>
      <c r="F319" s="3" t="s">
        <v>61</v>
      </c>
      <c r="G319" s="3" t="s">
        <v>60</v>
      </c>
      <c r="H319" s="3" t="s">
        <v>61</v>
      </c>
      <c r="I319" s="3" t="s">
        <v>61</v>
      </c>
      <c r="J319" s="3" t="s">
        <v>62</v>
      </c>
      <c r="K319" s="2" t="s">
        <v>3813</v>
      </c>
      <c r="L319" s="2" t="s">
        <v>3814</v>
      </c>
      <c r="M319" s="3" t="s">
        <v>1596</v>
      </c>
      <c r="N319" s="2" t="s">
        <v>2621</v>
      </c>
      <c r="O319" s="3" t="s">
        <v>114</v>
      </c>
      <c r="P319" s="3" t="s">
        <v>192</v>
      </c>
      <c r="Q319" s="2" t="s">
        <v>3077</v>
      </c>
      <c r="R319" s="3" t="s">
        <v>68</v>
      </c>
      <c r="S319" s="4">
        <v>10</v>
      </c>
      <c r="T319" s="4">
        <v>10</v>
      </c>
      <c r="U319" s="5" t="s">
        <v>3815</v>
      </c>
      <c r="V319" s="5" t="s">
        <v>3815</v>
      </c>
      <c r="W319" s="5" t="s">
        <v>3816</v>
      </c>
      <c r="X319" s="5" t="s">
        <v>3816</v>
      </c>
      <c r="Y319" s="4">
        <v>327</v>
      </c>
      <c r="Z319" s="4">
        <v>167</v>
      </c>
      <c r="AA319" s="4">
        <v>1044</v>
      </c>
      <c r="AB319" s="4">
        <v>2</v>
      </c>
      <c r="AC319" s="4">
        <v>9</v>
      </c>
      <c r="AD319" s="4">
        <v>9</v>
      </c>
      <c r="AE319" s="4">
        <v>45</v>
      </c>
      <c r="AF319" s="4">
        <v>0</v>
      </c>
      <c r="AG319" s="4">
        <v>16</v>
      </c>
      <c r="AH319" s="4">
        <v>3</v>
      </c>
      <c r="AI319" s="4">
        <v>10</v>
      </c>
      <c r="AJ319" s="4">
        <v>7</v>
      </c>
      <c r="AK319" s="4">
        <v>22</v>
      </c>
      <c r="AL319" s="4">
        <v>1</v>
      </c>
      <c r="AM319" s="4">
        <v>8</v>
      </c>
      <c r="AN319" s="4">
        <v>0</v>
      </c>
      <c r="AO319" s="4">
        <v>0</v>
      </c>
      <c r="AP319" s="3" t="s">
        <v>61</v>
      </c>
      <c r="AQ319" s="3" t="s">
        <v>59</v>
      </c>
      <c r="AR319" s="6" t="str">
        <f>HYPERLINK("http://catalog.hathitrust.org/Record/000723361","HathiTrust Record")</f>
        <v>HathiTrust Record</v>
      </c>
      <c r="AS319" s="6" t="str">
        <f>HYPERLINK("https://creighton-primo.hosted.exlibrisgroup.com/primo-explore/search?tab=default_tab&amp;search_scope=EVERYTHING&amp;vid=01CRU&amp;lang=en_US&amp;offset=0&amp;query=any,contains,991004009739702656","Catalog Record")</f>
        <v>Catalog Record</v>
      </c>
      <c r="AT319" s="6" t="str">
        <f>HYPERLINK("http://www.worldcat.org/oclc/2089738","WorldCat Record")</f>
        <v>WorldCat Record</v>
      </c>
      <c r="AU319" s="3" t="s">
        <v>3817</v>
      </c>
      <c r="AV319" s="3" t="s">
        <v>3818</v>
      </c>
      <c r="AW319" s="3" t="s">
        <v>3819</v>
      </c>
      <c r="AX319" s="3" t="s">
        <v>3819</v>
      </c>
      <c r="AY319" s="3" t="s">
        <v>3820</v>
      </c>
      <c r="AZ319" s="3" t="s">
        <v>75</v>
      </c>
      <c r="BB319" s="3" t="s">
        <v>3821</v>
      </c>
      <c r="BC319" s="3" t="s">
        <v>3822</v>
      </c>
      <c r="BD319" s="3" t="s">
        <v>3823</v>
      </c>
    </row>
    <row r="320" spans="1:56" ht="44.25" customHeight="1" x14ac:dyDescent="0.25">
      <c r="A320" s="7" t="s">
        <v>61</v>
      </c>
      <c r="B320" s="2" t="s">
        <v>3824</v>
      </c>
      <c r="C320" s="2" t="s">
        <v>3825</v>
      </c>
      <c r="D320" s="2" t="s">
        <v>3826</v>
      </c>
      <c r="F320" s="3" t="s">
        <v>61</v>
      </c>
      <c r="G320" s="3" t="s">
        <v>60</v>
      </c>
      <c r="H320" s="3" t="s">
        <v>61</v>
      </c>
      <c r="I320" s="3" t="s">
        <v>61</v>
      </c>
      <c r="J320" s="3" t="s">
        <v>62</v>
      </c>
      <c r="K320" s="2" t="s">
        <v>3827</v>
      </c>
      <c r="L320" s="2" t="s">
        <v>3828</v>
      </c>
      <c r="M320" s="3" t="s">
        <v>305</v>
      </c>
      <c r="O320" s="3" t="s">
        <v>114</v>
      </c>
      <c r="P320" s="3" t="s">
        <v>192</v>
      </c>
      <c r="R320" s="3" t="s">
        <v>68</v>
      </c>
      <c r="S320" s="4">
        <v>5</v>
      </c>
      <c r="T320" s="4">
        <v>5</v>
      </c>
      <c r="U320" s="5" t="s">
        <v>3829</v>
      </c>
      <c r="V320" s="5" t="s">
        <v>3829</v>
      </c>
      <c r="W320" s="5" t="s">
        <v>3816</v>
      </c>
      <c r="X320" s="5" t="s">
        <v>3816</v>
      </c>
      <c r="Y320" s="4">
        <v>356</v>
      </c>
      <c r="Z320" s="4">
        <v>253</v>
      </c>
      <c r="AA320" s="4">
        <v>260</v>
      </c>
      <c r="AB320" s="4">
        <v>3</v>
      </c>
      <c r="AC320" s="4">
        <v>3</v>
      </c>
      <c r="AD320" s="4">
        <v>12</v>
      </c>
      <c r="AE320" s="4">
        <v>12</v>
      </c>
      <c r="AF320" s="4">
        <v>2</v>
      </c>
      <c r="AG320" s="4">
        <v>2</v>
      </c>
      <c r="AH320" s="4">
        <v>2</v>
      </c>
      <c r="AI320" s="4">
        <v>2</v>
      </c>
      <c r="AJ320" s="4">
        <v>9</v>
      </c>
      <c r="AK320" s="4">
        <v>9</v>
      </c>
      <c r="AL320" s="4">
        <v>2</v>
      </c>
      <c r="AM320" s="4">
        <v>2</v>
      </c>
      <c r="AN320" s="4">
        <v>0</v>
      </c>
      <c r="AO320" s="4">
        <v>0</v>
      </c>
      <c r="AP320" s="3" t="s">
        <v>61</v>
      </c>
      <c r="AQ320" s="3" t="s">
        <v>59</v>
      </c>
      <c r="AR320" s="6" t="str">
        <f>HYPERLINK("http://catalog.hathitrust.org/Record/000672767","HathiTrust Record")</f>
        <v>HathiTrust Record</v>
      </c>
      <c r="AS320" s="6" t="str">
        <f>HYPERLINK("https://creighton-primo.hosted.exlibrisgroup.com/primo-explore/search?tab=default_tab&amp;search_scope=EVERYTHING&amp;vid=01CRU&amp;lang=en_US&amp;offset=0&amp;query=any,contains,991003566259702656","Catalog Record")</f>
        <v>Catalog Record</v>
      </c>
      <c r="AT320" s="6" t="str">
        <f>HYPERLINK("http://www.worldcat.org/oclc/1138894","WorldCat Record")</f>
        <v>WorldCat Record</v>
      </c>
      <c r="AU320" s="3" t="s">
        <v>3830</v>
      </c>
      <c r="AV320" s="3" t="s">
        <v>3831</v>
      </c>
      <c r="AW320" s="3" t="s">
        <v>3832</v>
      </c>
      <c r="AX320" s="3" t="s">
        <v>3832</v>
      </c>
      <c r="AY320" s="3" t="s">
        <v>3833</v>
      </c>
      <c r="AZ320" s="3" t="s">
        <v>75</v>
      </c>
      <c r="BC320" s="3" t="s">
        <v>3834</v>
      </c>
      <c r="BD320" s="3" t="s">
        <v>3835</v>
      </c>
    </row>
    <row r="321" spans="1:56" ht="44.25" customHeight="1" x14ac:dyDescent="0.25">
      <c r="A321" s="7" t="s">
        <v>61</v>
      </c>
      <c r="B321" s="2" t="s">
        <v>3836</v>
      </c>
      <c r="C321" s="2" t="s">
        <v>3837</v>
      </c>
      <c r="D321" s="2" t="s">
        <v>3838</v>
      </c>
      <c r="F321" s="3" t="s">
        <v>61</v>
      </c>
      <c r="G321" s="3" t="s">
        <v>60</v>
      </c>
      <c r="H321" s="3" t="s">
        <v>61</v>
      </c>
      <c r="I321" s="3" t="s">
        <v>61</v>
      </c>
      <c r="J321" s="3" t="s">
        <v>62</v>
      </c>
      <c r="K321" s="2" t="s">
        <v>3839</v>
      </c>
      <c r="L321" s="2" t="s">
        <v>3840</v>
      </c>
      <c r="M321" s="3" t="s">
        <v>784</v>
      </c>
      <c r="O321" s="3" t="s">
        <v>114</v>
      </c>
      <c r="P321" s="3" t="s">
        <v>235</v>
      </c>
      <c r="Q321" s="2" t="s">
        <v>3841</v>
      </c>
      <c r="R321" s="3" t="s">
        <v>68</v>
      </c>
      <c r="S321" s="4">
        <v>4</v>
      </c>
      <c r="T321" s="4">
        <v>4</v>
      </c>
      <c r="U321" s="5" t="s">
        <v>3842</v>
      </c>
      <c r="V321" s="5" t="s">
        <v>3842</v>
      </c>
      <c r="W321" s="5" t="s">
        <v>3353</v>
      </c>
      <c r="X321" s="5" t="s">
        <v>3353</v>
      </c>
      <c r="Y321" s="4">
        <v>205</v>
      </c>
      <c r="Z321" s="4">
        <v>193</v>
      </c>
      <c r="AA321" s="4">
        <v>282</v>
      </c>
      <c r="AB321" s="4">
        <v>4</v>
      </c>
      <c r="AC321" s="4">
        <v>5</v>
      </c>
      <c r="AD321" s="4">
        <v>13</v>
      </c>
      <c r="AE321" s="4">
        <v>20</v>
      </c>
      <c r="AF321" s="4">
        <v>6</v>
      </c>
      <c r="AG321" s="4">
        <v>7</v>
      </c>
      <c r="AH321" s="4">
        <v>3</v>
      </c>
      <c r="AI321" s="4">
        <v>5</v>
      </c>
      <c r="AJ321" s="4">
        <v>5</v>
      </c>
      <c r="AK321" s="4">
        <v>10</v>
      </c>
      <c r="AL321" s="4">
        <v>3</v>
      </c>
      <c r="AM321" s="4">
        <v>4</v>
      </c>
      <c r="AN321" s="4">
        <v>0</v>
      </c>
      <c r="AO321" s="4">
        <v>0</v>
      </c>
      <c r="AP321" s="3" t="s">
        <v>61</v>
      </c>
      <c r="AQ321" s="3" t="s">
        <v>59</v>
      </c>
      <c r="AR321" s="6" t="str">
        <f>HYPERLINK("http://catalog.hathitrust.org/Record/000672762","HathiTrust Record")</f>
        <v>HathiTrust Record</v>
      </c>
      <c r="AS321" s="6" t="str">
        <f>HYPERLINK("https://creighton-primo.hosted.exlibrisgroup.com/primo-explore/search?tab=default_tab&amp;search_scope=EVERYTHING&amp;vid=01CRU&amp;lang=en_US&amp;offset=0&amp;query=any,contains,991002763829702656","Catalog Record")</f>
        <v>Catalog Record</v>
      </c>
      <c r="AT321" s="6" t="str">
        <f>HYPERLINK("http://www.worldcat.org/oclc/431386","WorldCat Record")</f>
        <v>WorldCat Record</v>
      </c>
      <c r="AU321" s="3" t="s">
        <v>3843</v>
      </c>
      <c r="AV321" s="3" t="s">
        <v>3844</v>
      </c>
      <c r="AW321" s="3" t="s">
        <v>3845</v>
      </c>
      <c r="AX321" s="3" t="s">
        <v>3845</v>
      </c>
      <c r="AY321" s="3" t="s">
        <v>3846</v>
      </c>
      <c r="AZ321" s="3" t="s">
        <v>75</v>
      </c>
      <c r="BC321" s="3" t="s">
        <v>3847</v>
      </c>
      <c r="BD321" s="3" t="s">
        <v>3848</v>
      </c>
    </row>
    <row r="322" spans="1:56" ht="44.25" customHeight="1" x14ac:dyDescent="0.25">
      <c r="A322" s="7" t="s">
        <v>61</v>
      </c>
      <c r="B322" s="2" t="s">
        <v>3849</v>
      </c>
      <c r="C322" s="2" t="s">
        <v>3850</v>
      </c>
      <c r="D322" s="2" t="s">
        <v>3851</v>
      </c>
      <c r="F322" s="3" t="s">
        <v>61</v>
      </c>
      <c r="G322" s="3" t="s">
        <v>60</v>
      </c>
      <c r="H322" s="3" t="s">
        <v>61</v>
      </c>
      <c r="I322" s="3" t="s">
        <v>61</v>
      </c>
      <c r="J322" s="3" t="s">
        <v>62</v>
      </c>
      <c r="K322" s="2" t="s">
        <v>3852</v>
      </c>
      <c r="L322" s="2" t="s">
        <v>3853</v>
      </c>
      <c r="M322" s="3" t="s">
        <v>3854</v>
      </c>
      <c r="O322" s="3" t="s">
        <v>114</v>
      </c>
      <c r="P322" s="3" t="s">
        <v>67</v>
      </c>
      <c r="R322" s="3" t="s">
        <v>68</v>
      </c>
      <c r="S322" s="4">
        <v>3</v>
      </c>
      <c r="T322" s="4">
        <v>3</v>
      </c>
      <c r="U322" s="5" t="s">
        <v>3764</v>
      </c>
      <c r="V322" s="5" t="s">
        <v>3764</v>
      </c>
      <c r="W322" s="5" t="s">
        <v>3353</v>
      </c>
      <c r="X322" s="5" t="s">
        <v>3353</v>
      </c>
      <c r="Y322" s="4">
        <v>157</v>
      </c>
      <c r="Z322" s="4">
        <v>112</v>
      </c>
      <c r="AA322" s="4">
        <v>114</v>
      </c>
      <c r="AB322" s="4">
        <v>1</v>
      </c>
      <c r="AC322" s="4">
        <v>1</v>
      </c>
      <c r="AD322" s="4">
        <v>7</v>
      </c>
      <c r="AE322" s="4">
        <v>7</v>
      </c>
      <c r="AF322" s="4">
        <v>0</v>
      </c>
      <c r="AG322" s="4">
        <v>0</v>
      </c>
      <c r="AH322" s="4">
        <v>2</v>
      </c>
      <c r="AI322" s="4">
        <v>2</v>
      </c>
      <c r="AJ322" s="4">
        <v>6</v>
      </c>
      <c r="AK322" s="4">
        <v>6</v>
      </c>
      <c r="AL322" s="4">
        <v>0</v>
      </c>
      <c r="AM322" s="4">
        <v>0</v>
      </c>
      <c r="AN322" s="4">
        <v>0</v>
      </c>
      <c r="AO322" s="4">
        <v>0</v>
      </c>
      <c r="AP322" s="3" t="s">
        <v>61</v>
      </c>
      <c r="AQ322" s="3" t="s">
        <v>61</v>
      </c>
      <c r="AR322" s="6" t="str">
        <f>HYPERLINK("http://catalog.hathitrust.org/Record/000554846","HathiTrust Record")</f>
        <v>HathiTrust Record</v>
      </c>
      <c r="AS322" s="6" t="str">
        <f>HYPERLINK("https://creighton-primo.hosted.exlibrisgroup.com/primo-explore/search?tab=default_tab&amp;search_scope=EVERYTHING&amp;vid=01CRU&amp;lang=en_US&amp;offset=0&amp;query=any,contains,991003574739702656","Catalog Record")</f>
        <v>Catalog Record</v>
      </c>
      <c r="AT322" s="6" t="str">
        <f>HYPERLINK("http://www.worldcat.org/oclc/1151847","WorldCat Record")</f>
        <v>WorldCat Record</v>
      </c>
      <c r="AU322" s="3" t="s">
        <v>3855</v>
      </c>
      <c r="AV322" s="3" t="s">
        <v>3856</v>
      </c>
      <c r="AW322" s="3" t="s">
        <v>3857</v>
      </c>
      <c r="AX322" s="3" t="s">
        <v>3857</v>
      </c>
      <c r="AY322" s="3" t="s">
        <v>3858</v>
      </c>
      <c r="AZ322" s="3" t="s">
        <v>75</v>
      </c>
      <c r="BC322" s="3" t="s">
        <v>3859</v>
      </c>
      <c r="BD322" s="3" t="s">
        <v>3860</v>
      </c>
    </row>
    <row r="323" spans="1:56" ht="44.25" customHeight="1" x14ac:dyDescent="0.25">
      <c r="A323" s="7" t="s">
        <v>61</v>
      </c>
      <c r="B323" s="2" t="s">
        <v>3861</v>
      </c>
      <c r="C323" s="2" t="s">
        <v>3862</v>
      </c>
      <c r="D323" s="2" t="s">
        <v>3863</v>
      </c>
      <c r="F323" s="3" t="s">
        <v>61</v>
      </c>
      <c r="G323" s="3" t="s">
        <v>60</v>
      </c>
      <c r="H323" s="3" t="s">
        <v>61</v>
      </c>
      <c r="I323" s="3" t="s">
        <v>61</v>
      </c>
      <c r="J323" s="3" t="s">
        <v>62</v>
      </c>
      <c r="K323" s="2" t="s">
        <v>2513</v>
      </c>
      <c r="L323" s="2" t="s">
        <v>3864</v>
      </c>
      <c r="M323" s="3" t="s">
        <v>1060</v>
      </c>
      <c r="O323" s="3" t="s">
        <v>114</v>
      </c>
      <c r="P323" s="3" t="s">
        <v>235</v>
      </c>
      <c r="Q323" s="2" t="s">
        <v>3865</v>
      </c>
      <c r="R323" s="3" t="s">
        <v>68</v>
      </c>
      <c r="S323" s="4">
        <v>11</v>
      </c>
      <c r="T323" s="4">
        <v>11</v>
      </c>
      <c r="U323" s="5" t="s">
        <v>3866</v>
      </c>
      <c r="V323" s="5" t="s">
        <v>3866</v>
      </c>
      <c r="W323" s="5" t="s">
        <v>3353</v>
      </c>
      <c r="X323" s="5" t="s">
        <v>3353</v>
      </c>
      <c r="Y323" s="4">
        <v>1038</v>
      </c>
      <c r="Z323" s="4">
        <v>928</v>
      </c>
      <c r="AA323" s="4">
        <v>1118</v>
      </c>
      <c r="AB323" s="4">
        <v>6</v>
      </c>
      <c r="AC323" s="4">
        <v>6</v>
      </c>
      <c r="AD323" s="4">
        <v>38</v>
      </c>
      <c r="AE323" s="4">
        <v>42</v>
      </c>
      <c r="AF323" s="4">
        <v>17</v>
      </c>
      <c r="AG323" s="4">
        <v>20</v>
      </c>
      <c r="AH323" s="4">
        <v>8</v>
      </c>
      <c r="AI323" s="4">
        <v>8</v>
      </c>
      <c r="AJ323" s="4">
        <v>17</v>
      </c>
      <c r="AK323" s="4">
        <v>19</v>
      </c>
      <c r="AL323" s="4">
        <v>5</v>
      </c>
      <c r="AM323" s="4">
        <v>5</v>
      </c>
      <c r="AN323" s="4">
        <v>0</v>
      </c>
      <c r="AO323" s="4">
        <v>0</v>
      </c>
      <c r="AP323" s="3" t="s">
        <v>61</v>
      </c>
      <c r="AQ323" s="3" t="s">
        <v>59</v>
      </c>
      <c r="AR323" s="6" t="str">
        <f>HYPERLINK("http://catalog.hathitrust.org/Record/000554847","HathiTrust Record")</f>
        <v>HathiTrust Record</v>
      </c>
      <c r="AS323" s="6" t="str">
        <f>HYPERLINK("https://creighton-primo.hosted.exlibrisgroup.com/primo-explore/search?tab=default_tab&amp;search_scope=EVERYTHING&amp;vid=01CRU&amp;lang=en_US&amp;offset=0&amp;query=any,contains,991002663289702656","Catalog Record")</f>
        <v>Catalog Record</v>
      </c>
      <c r="AT323" s="6" t="str">
        <f>HYPERLINK("http://www.worldcat.org/oclc/392184","WorldCat Record")</f>
        <v>WorldCat Record</v>
      </c>
      <c r="AU323" s="3" t="s">
        <v>3867</v>
      </c>
      <c r="AV323" s="3" t="s">
        <v>3868</v>
      </c>
      <c r="AW323" s="3" t="s">
        <v>3869</v>
      </c>
      <c r="AX323" s="3" t="s">
        <v>3869</v>
      </c>
      <c r="AY323" s="3" t="s">
        <v>3870</v>
      </c>
      <c r="AZ323" s="3" t="s">
        <v>75</v>
      </c>
      <c r="BC323" s="3" t="s">
        <v>3871</v>
      </c>
      <c r="BD323" s="3" t="s">
        <v>3872</v>
      </c>
    </row>
    <row r="324" spans="1:56" ht="44.25" customHeight="1" x14ac:dyDescent="0.25">
      <c r="A324" s="7" t="s">
        <v>61</v>
      </c>
      <c r="B324" s="2" t="s">
        <v>3873</v>
      </c>
      <c r="C324" s="2" t="s">
        <v>3874</v>
      </c>
      <c r="D324" s="2" t="s">
        <v>3875</v>
      </c>
      <c r="F324" s="3" t="s">
        <v>61</v>
      </c>
      <c r="G324" s="3" t="s">
        <v>60</v>
      </c>
      <c r="H324" s="3" t="s">
        <v>61</v>
      </c>
      <c r="I324" s="3" t="s">
        <v>61</v>
      </c>
      <c r="J324" s="3" t="s">
        <v>62</v>
      </c>
      <c r="K324" s="2" t="s">
        <v>3876</v>
      </c>
      <c r="L324" s="2" t="s">
        <v>3877</v>
      </c>
      <c r="M324" s="3" t="s">
        <v>707</v>
      </c>
      <c r="O324" s="3" t="s">
        <v>114</v>
      </c>
      <c r="P324" s="3" t="s">
        <v>67</v>
      </c>
      <c r="Q324" s="2" t="s">
        <v>3402</v>
      </c>
      <c r="R324" s="3" t="s">
        <v>68</v>
      </c>
      <c r="S324" s="4">
        <v>14</v>
      </c>
      <c r="T324" s="4">
        <v>14</v>
      </c>
      <c r="U324" s="5" t="s">
        <v>3764</v>
      </c>
      <c r="V324" s="5" t="s">
        <v>3764</v>
      </c>
      <c r="W324" s="5" t="s">
        <v>3878</v>
      </c>
      <c r="X324" s="5" t="s">
        <v>3878</v>
      </c>
      <c r="Y324" s="4">
        <v>537</v>
      </c>
      <c r="Z324" s="4">
        <v>437</v>
      </c>
      <c r="AA324" s="4">
        <v>439</v>
      </c>
      <c r="AB324" s="4">
        <v>3</v>
      </c>
      <c r="AC324" s="4">
        <v>3</v>
      </c>
      <c r="AD324" s="4">
        <v>17</v>
      </c>
      <c r="AE324" s="4">
        <v>17</v>
      </c>
      <c r="AF324" s="4">
        <v>7</v>
      </c>
      <c r="AG324" s="4">
        <v>7</v>
      </c>
      <c r="AH324" s="4">
        <v>2</v>
      </c>
      <c r="AI324" s="4">
        <v>2</v>
      </c>
      <c r="AJ324" s="4">
        <v>11</v>
      </c>
      <c r="AK324" s="4">
        <v>11</v>
      </c>
      <c r="AL324" s="4">
        <v>2</v>
      </c>
      <c r="AM324" s="4">
        <v>2</v>
      </c>
      <c r="AN324" s="4">
        <v>0</v>
      </c>
      <c r="AO324" s="4">
        <v>0</v>
      </c>
      <c r="AP324" s="3" t="s">
        <v>61</v>
      </c>
      <c r="AQ324" s="3" t="s">
        <v>59</v>
      </c>
      <c r="AR324" s="6" t="str">
        <f>HYPERLINK("http://catalog.hathitrust.org/Record/006229589","HathiTrust Record")</f>
        <v>HathiTrust Record</v>
      </c>
      <c r="AS324" s="6" t="str">
        <f>HYPERLINK("https://creighton-primo.hosted.exlibrisgroup.com/primo-explore/search?tab=default_tab&amp;search_scope=EVERYTHING&amp;vid=01CRU&amp;lang=en_US&amp;offset=0&amp;query=any,contains,991002418749702656","Catalog Record")</f>
        <v>Catalog Record</v>
      </c>
      <c r="AT324" s="6" t="str">
        <f>HYPERLINK("http://www.worldcat.org/oclc/342204","WorldCat Record")</f>
        <v>WorldCat Record</v>
      </c>
      <c r="AU324" s="3" t="s">
        <v>3879</v>
      </c>
      <c r="AV324" s="3" t="s">
        <v>3880</v>
      </c>
      <c r="AW324" s="3" t="s">
        <v>3881</v>
      </c>
      <c r="AX324" s="3" t="s">
        <v>3881</v>
      </c>
      <c r="AY324" s="3" t="s">
        <v>3882</v>
      </c>
      <c r="AZ324" s="3" t="s">
        <v>75</v>
      </c>
      <c r="BC324" s="3" t="s">
        <v>3883</v>
      </c>
      <c r="BD324" s="3" t="s">
        <v>3884</v>
      </c>
    </row>
    <row r="325" spans="1:56" ht="44.25" customHeight="1" x14ac:dyDescent="0.25">
      <c r="A325" s="7" t="s">
        <v>61</v>
      </c>
      <c r="B325" s="2" t="s">
        <v>3885</v>
      </c>
      <c r="C325" s="2" t="s">
        <v>3886</v>
      </c>
      <c r="D325" s="2" t="s">
        <v>3887</v>
      </c>
      <c r="F325" s="3" t="s">
        <v>61</v>
      </c>
      <c r="G325" s="3" t="s">
        <v>60</v>
      </c>
      <c r="H325" s="3" t="s">
        <v>61</v>
      </c>
      <c r="I325" s="3" t="s">
        <v>61</v>
      </c>
      <c r="J325" s="3" t="s">
        <v>62</v>
      </c>
      <c r="L325" s="2" t="s">
        <v>3888</v>
      </c>
      <c r="M325" s="3" t="s">
        <v>220</v>
      </c>
      <c r="O325" s="3" t="s">
        <v>114</v>
      </c>
      <c r="P325" s="3" t="s">
        <v>1716</v>
      </c>
      <c r="Q325" s="2" t="s">
        <v>3889</v>
      </c>
      <c r="R325" s="3" t="s">
        <v>68</v>
      </c>
      <c r="S325" s="4">
        <v>3</v>
      </c>
      <c r="T325" s="4">
        <v>3</v>
      </c>
      <c r="U325" s="5" t="s">
        <v>1279</v>
      </c>
      <c r="V325" s="5" t="s">
        <v>1279</v>
      </c>
      <c r="W325" s="5" t="s">
        <v>1279</v>
      </c>
      <c r="X325" s="5" t="s">
        <v>1279</v>
      </c>
      <c r="Y325" s="4">
        <v>139</v>
      </c>
      <c r="Z325" s="4">
        <v>97</v>
      </c>
      <c r="AA325" s="4">
        <v>110</v>
      </c>
      <c r="AB325" s="4">
        <v>2</v>
      </c>
      <c r="AC325" s="4">
        <v>2</v>
      </c>
      <c r="AD325" s="4">
        <v>3</v>
      </c>
      <c r="AE325" s="4">
        <v>3</v>
      </c>
      <c r="AF325" s="4">
        <v>0</v>
      </c>
      <c r="AG325" s="4">
        <v>0</v>
      </c>
      <c r="AH325" s="4">
        <v>2</v>
      </c>
      <c r="AI325" s="4">
        <v>2</v>
      </c>
      <c r="AJ325" s="4">
        <v>1</v>
      </c>
      <c r="AK325" s="4">
        <v>1</v>
      </c>
      <c r="AL325" s="4">
        <v>1</v>
      </c>
      <c r="AM325" s="4">
        <v>1</v>
      </c>
      <c r="AN325" s="4">
        <v>0</v>
      </c>
      <c r="AO325" s="4">
        <v>0</v>
      </c>
      <c r="AP325" s="3" t="s">
        <v>61</v>
      </c>
      <c r="AQ325" s="3" t="s">
        <v>61</v>
      </c>
      <c r="AS325" s="6" t="str">
        <f>HYPERLINK("https://creighton-primo.hosted.exlibrisgroup.com/primo-explore/search?tab=default_tab&amp;search_scope=EVERYTHING&amp;vid=01CRU&amp;lang=en_US&amp;offset=0&amp;query=any,contains,991004160139702656","Catalog Record")</f>
        <v>Catalog Record</v>
      </c>
      <c r="AT325" s="6" t="str">
        <f>HYPERLINK("http://www.worldcat.org/oclc/48249259","WorldCat Record")</f>
        <v>WorldCat Record</v>
      </c>
      <c r="AU325" s="3" t="s">
        <v>3890</v>
      </c>
      <c r="AV325" s="3" t="s">
        <v>3891</v>
      </c>
      <c r="AW325" s="3" t="s">
        <v>3892</v>
      </c>
      <c r="AX325" s="3" t="s">
        <v>3892</v>
      </c>
      <c r="AY325" s="3" t="s">
        <v>3893</v>
      </c>
      <c r="AZ325" s="3" t="s">
        <v>75</v>
      </c>
      <c r="BB325" s="3" t="s">
        <v>3894</v>
      </c>
      <c r="BC325" s="3" t="s">
        <v>3895</v>
      </c>
      <c r="BD325" s="3" t="s">
        <v>3896</v>
      </c>
    </row>
    <row r="326" spans="1:56" ht="44.25" customHeight="1" x14ac:dyDescent="0.25">
      <c r="A326" s="7" t="s">
        <v>61</v>
      </c>
      <c r="B326" s="2" t="s">
        <v>3897</v>
      </c>
      <c r="C326" s="2" t="s">
        <v>3898</v>
      </c>
      <c r="D326" s="2" t="s">
        <v>3899</v>
      </c>
      <c r="F326" s="3" t="s">
        <v>61</v>
      </c>
      <c r="G326" s="3" t="s">
        <v>60</v>
      </c>
      <c r="H326" s="3" t="s">
        <v>61</v>
      </c>
      <c r="I326" s="3" t="s">
        <v>61</v>
      </c>
      <c r="J326" s="3" t="s">
        <v>62</v>
      </c>
      <c r="K326" s="2" t="s">
        <v>3900</v>
      </c>
      <c r="L326" s="2" t="s">
        <v>3901</v>
      </c>
      <c r="M326" s="3" t="s">
        <v>2391</v>
      </c>
      <c r="O326" s="3" t="s">
        <v>114</v>
      </c>
      <c r="P326" s="3" t="s">
        <v>192</v>
      </c>
      <c r="R326" s="3" t="s">
        <v>68</v>
      </c>
      <c r="S326" s="4">
        <v>4</v>
      </c>
      <c r="T326" s="4">
        <v>4</v>
      </c>
      <c r="U326" s="5" t="s">
        <v>510</v>
      </c>
      <c r="V326" s="5" t="s">
        <v>510</v>
      </c>
      <c r="W326" s="5" t="s">
        <v>3902</v>
      </c>
      <c r="X326" s="5" t="s">
        <v>3902</v>
      </c>
      <c r="Y326" s="4">
        <v>140</v>
      </c>
      <c r="Z326" s="4">
        <v>102</v>
      </c>
      <c r="AA326" s="4">
        <v>208</v>
      </c>
      <c r="AB326" s="4">
        <v>2</v>
      </c>
      <c r="AC326" s="4">
        <v>5</v>
      </c>
      <c r="AD326" s="4">
        <v>0</v>
      </c>
      <c r="AE326" s="4">
        <v>6</v>
      </c>
      <c r="AF326" s="4">
        <v>0</v>
      </c>
      <c r="AG326" s="4">
        <v>1</v>
      </c>
      <c r="AH326" s="4">
        <v>0</v>
      </c>
      <c r="AI326" s="4">
        <v>2</v>
      </c>
      <c r="AJ326" s="4">
        <v>0</v>
      </c>
      <c r="AK326" s="4">
        <v>2</v>
      </c>
      <c r="AL326" s="4">
        <v>0</v>
      </c>
      <c r="AM326" s="4">
        <v>3</v>
      </c>
      <c r="AN326" s="4">
        <v>0</v>
      </c>
      <c r="AO326" s="4">
        <v>0</v>
      </c>
      <c r="AP326" s="3" t="s">
        <v>61</v>
      </c>
      <c r="AQ326" s="3" t="s">
        <v>61</v>
      </c>
      <c r="AS326" s="6" t="str">
        <f>HYPERLINK("https://creighton-primo.hosted.exlibrisgroup.com/primo-explore/search?tab=default_tab&amp;search_scope=EVERYTHING&amp;vid=01CRU&amp;lang=en_US&amp;offset=0&amp;query=any,contains,991003993319702656","Catalog Record")</f>
        <v>Catalog Record</v>
      </c>
      <c r="AT326" s="6" t="str">
        <f>HYPERLINK("http://www.worldcat.org/oclc/59550463","WorldCat Record")</f>
        <v>WorldCat Record</v>
      </c>
      <c r="AU326" s="3" t="s">
        <v>3903</v>
      </c>
      <c r="AV326" s="3" t="s">
        <v>3904</v>
      </c>
      <c r="AW326" s="3" t="s">
        <v>3905</v>
      </c>
      <c r="AX326" s="3" t="s">
        <v>3905</v>
      </c>
      <c r="AY326" s="3" t="s">
        <v>3906</v>
      </c>
      <c r="AZ326" s="3" t="s">
        <v>75</v>
      </c>
      <c r="BB326" s="3" t="s">
        <v>3907</v>
      </c>
      <c r="BC326" s="3" t="s">
        <v>3908</v>
      </c>
      <c r="BD326" s="3" t="s">
        <v>3909</v>
      </c>
    </row>
    <row r="327" spans="1:56" ht="44.25" customHeight="1" x14ac:dyDescent="0.25">
      <c r="A327" s="7" t="s">
        <v>61</v>
      </c>
      <c r="B327" s="2" t="s">
        <v>3910</v>
      </c>
      <c r="C327" s="2" t="s">
        <v>3911</v>
      </c>
      <c r="D327" s="2" t="s">
        <v>3912</v>
      </c>
      <c r="F327" s="3" t="s">
        <v>61</v>
      </c>
      <c r="G327" s="3" t="s">
        <v>60</v>
      </c>
      <c r="H327" s="3" t="s">
        <v>61</v>
      </c>
      <c r="I327" s="3" t="s">
        <v>61</v>
      </c>
      <c r="J327" s="3" t="s">
        <v>62</v>
      </c>
      <c r="K327" s="2" t="s">
        <v>3913</v>
      </c>
      <c r="L327" s="2" t="s">
        <v>3914</v>
      </c>
      <c r="M327" s="3" t="s">
        <v>1376</v>
      </c>
      <c r="O327" s="3" t="s">
        <v>114</v>
      </c>
      <c r="P327" s="3" t="s">
        <v>115</v>
      </c>
      <c r="Q327" s="2" t="s">
        <v>3915</v>
      </c>
      <c r="R327" s="3" t="s">
        <v>68</v>
      </c>
      <c r="S327" s="4">
        <v>7</v>
      </c>
      <c r="T327" s="4">
        <v>7</v>
      </c>
      <c r="U327" s="5" t="s">
        <v>3916</v>
      </c>
      <c r="V327" s="5" t="s">
        <v>3916</v>
      </c>
      <c r="W327" s="5" t="s">
        <v>3353</v>
      </c>
      <c r="X327" s="5" t="s">
        <v>3353</v>
      </c>
      <c r="Y327" s="4">
        <v>252</v>
      </c>
      <c r="Z327" s="4">
        <v>200</v>
      </c>
      <c r="AA327" s="4">
        <v>203</v>
      </c>
      <c r="AB327" s="4">
        <v>3</v>
      </c>
      <c r="AC327" s="4">
        <v>3</v>
      </c>
      <c r="AD327" s="4">
        <v>12</v>
      </c>
      <c r="AE327" s="4">
        <v>12</v>
      </c>
      <c r="AF327" s="4">
        <v>1</v>
      </c>
      <c r="AG327" s="4">
        <v>1</v>
      </c>
      <c r="AH327" s="4">
        <v>3</v>
      </c>
      <c r="AI327" s="4">
        <v>3</v>
      </c>
      <c r="AJ327" s="4">
        <v>10</v>
      </c>
      <c r="AK327" s="4">
        <v>10</v>
      </c>
      <c r="AL327" s="4">
        <v>2</v>
      </c>
      <c r="AM327" s="4">
        <v>2</v>
      </c>
      <c r="AN327" s="4">
        <v>0</v>
      </c>
      <c r="AO327" s="4">
        <v>0</v>
      </c>
      <c r="AP327" s="3" t="s">
        <v>61</v>
      </c>
      <c r="AQ327" s="3" t="s">
        <v>59</v>
      </c>
      <c r="AR327" s="6" t="str">
        <f>HYPERLINK("http://catalog.hathitrust.org/Record/000555069","HathiTrust Record")</f>
        <v>HathiTrust Record</v>
      </c>
      <c r="AS327" s="6" t="str">
        <f>HYPERLINK("https://creighton-primo.hosted.exlibrisgroup.com/primo-explore/search?tab=default_tab&amp;search_scope=EVERYTHING&amp;vid=01CRU&amp;lang=en_US&amp;offset=0&amp;query=any,contains,991000403179702656","Catalog Record")</f>
        <v>Catalog Record</v>
      </c>
      <c r="AT327" s="6" t="str">
        <f>HYPERLINK("http://www.worldcat.org/oclc/73647","WorldCat Record")</f>
        <v>WorldCat Record</v>
      </c>
      <c r="AU327" s="3" t="s">
        <v>3917</v>
      </c>
      <c r="AV327" s="3" t="s">
        <v>3918</v>
      </c>
      <c r="AW327" s="3" t="s">
        <v>3919</v>
      </c>
      <c r="AX327" s="3" t="s">
        <v>3919</v>
      </c>
      <c r="AY327" s="3" t="s">
        <v>3920</v>
      </c>
      <c r="AZ327" s="3" t="s">
        <v>75</v>
      </c>
      <c r="BC327" s="3" t="s">
        <v>3921</v>
      </c>
      <c r="BD327" s="3" t="s">
        <v>3922</v>
      </c>
    </row>
    <row r="328" spans="1:56" ht="44.25" customHeight="1" x14ac:dyDescent="0.25">
      <c r="A328" s="7" t="s">
        <v>61</v>
      </c>
      <c r="B328" s="2" t="s">
        <v>3923</v>
      </c>
      <c r="C328" s="2" t="s">
        <v>3924</v>
      </c>
      <c r="D328" s="2" t="s">
        <v>3925</v>
      </c>
      <c r="F328" s="3" t="s">
        <v>61</v>
      </c>
      <c r="G328" s="3" t="s">
        <v>60</v>
      </c>
      <c r="H328" s="3" t="s">
        <v>61</v>
      </c>
      <c r="I328" s="3" t="s">
        <v>61</v>
      </c>
      <c r="J328" s="3" t="s">
        <v>62</v>
      </c>
      <c r="K328" s="2" t="s">
        <v>3926</v>
      </c>
      <c r="L328" s="2" t="s">
        <v>3927</v>
      </c>
      <c r="M328" s="3" t="s">
        <v>113</v>
      </c>
      <c r="N328" s="2" t="s">
        <v>2798</v>
      </c>
      <c r="O328" s="3" t="s">
        <v>114</v>
      </c>
      <c r="P328" s="3" t="s">
        <v>235</v>
      </c>
      <c r="R328" s="3" t="s">
        <v>68</v>
      </c>
      <c r="S328" s="4">
        <v>4</v>
      </c>
      <c r="T328" s="4">
        <v>4</v>
      </c>
      <c r="U328" s="5" t="s">
        <v>3928</v>
      </c>
      <c r="V328" s="5" t="s">
        <v>3928</v>
      </c>
      <c r="W328" s="5" t="s">
        <v>3353</v>
      </c>
      <c r="X328" s="5" t="s">
        <v>3353</v>
      </c>
      <c r="Y328" s="4">
        <v>85</v>
      </c>
      <c r="Z328" s="4">
        <v>69</v>
      </c>
      <c r="AA328" s="4">
        <v>233</v>
      </c>
      <c r="AB328" s="4">
        <v>2</v>
      </c>
      <c r="AC328" s="4">
        <v>3</v>
      </c>
      <c r="AD328" s="4">
        <v>1</v>
      </c>
      <c r="AE328" s="4">
        <v>6</v>
      </c>
      <c r="AF328" s="4">
        <v>0</v>
      </c>
      <c r="AG328" s="4">
        <v>0</v>
      </c>
      <c r="AH328" s="4">
        <v>0</v>
      </c>
      <c r="AI328" s="4">
        <v>1</v>
      </c>
      <c r="AJ328" s="4">
        <v>0</v>
      </c>
      <c r="AK328" s="4">
        <v>4</v>
      </c>
      <c r="AL328" s="4">
        <v>1</v>
      </c>
      <c r="AM328" s="4">
        <v>2</v>
      </c>
      <c r="AN328" s="4">
        <v>0</v>
      </c>
      <c r="AO328" s="4">
        <v>0</v>
      </c>
      <c r="AP328" s="3" t="s">
        <v>61</v>
      </c>
      <c r="AQ328" s="3" t="s">
        <v>61</v>
      </c>
      <c r="AS328" s="6" t="str">
        <f>HYPERLINK("https://creighton-primo.hosted.exlibrisgroup.com/primo-explore/search?tab=default_tab&amp;search_scope=EVERYTHING&amp;vid=01CRU&amp;lang=en_US&amp;offset=0&amp;query=any,contains,991004249449702656","Catalog Record")</f>
        <v>Catalog Record</v>
      </c>
      <c r="AT328" s="6" t="str">
        <f>HYPERLINK("http://www.worldcat.org/oclc/2805436","WorldCat Record")</f>
        <v>WorldCat Record</v>
      </c>
      <c r="AU328" s="3" t="s">
        <v>3929</v>
      </c>
      <c r="AV328" s="3" t="s">
        <v>3930</v>
      </c>
      <c r="AW328" s="3" t="s">
        <v>3931</v>
      </c>
      <c r="AX328" s="3" t="s">
        <v>3931</v>
      </c>
      <c r="AY328" s="3" t="s">
        <v>3932</v>
      </c>
      <c r="AZ328" s="3" t="s">
        <v>75</v>
      </c>
      <c r="BB328" s="3" t="s">
        <v>3933</v>
      </c>
      <c r="BC328" s="3" t="s">
        <v>3934</v>
      </c>
      <c r="BD328" s="3" t="s">
        <v>3935</v>
      </c>
    </row>
    <row r="329" spans="1:56" ht="44.25" customHeight="1" x14ac:dyDescent="0.25">
      <c r="A329" s="7" t="s">
        <v>61</v>
      </c>
      <c r="B329" s="2" t="s">
        <v>3936</v>
      </c>
      <c r="C329" s="2" t="s">
        <v>3937</v>
      </c>
      <c r="D329" s="2" t="s">
        <v>3938</v>
      </c>
      <c r="F329" s="3" t="s">
        <v>61</v>
      </c>
      <c r="G329" s="3" t="s">
        <v>60</v>
      </c>
      <c r="H329" s="3" t="s">
        <v>61</v>
      </c>
      <c r="I329" s="3" t="s">
        <v>61</v>
      </c>
      <c r="J329" s="3" t="s">
        <v>62</v>
      </c>
      <c r="K329" s="2" t="s">
        <v>3939</v>
      </c>
      <c r="L329" s="2" t="s">
        <v>3940</v>
      </c>
      <c r="M329" s="3" t="s">
        <v>2281</v>
      </c>
      <c r="N329" s="2" t="s">
        <v>679</v>
      </c>
      <c r="O329" s="3" t="s">
        <v>114</v>
      </c>
      <c r="P329" s="3" t="s">
        <v>235</v>
      </c>
      <c r="Q329" s="2" t="s">
        <v>3140</v>
      </c>
      <c r="R329" s="3" t="s">
        <v>68</v>
      </c>
      <c r="S329" s="4">
        <v>4</v>
      </c>
      <c r="T329" s="4">
        <v>4</v>
      </c>
      <c r="U329" s="5" t="s">
        <v>3941</v>
      </c>
      <c r="V329" s="5" t="s">
        <v>3941</v>
      </c>
      <c r="W329" s="5" t="s">
        <v>3353</v>
      </c>
      <c r="X329" s="5" t="s">
        <v>3353</v>
      </c>
      <c r="Y329" s="4">
        <v>405</v>
      </c>
      <c r="Z329" s="4">
        <v>364</v>
      </c>
      <c r="AA329" s="4">
        <v>422</v>
      </c>
      <c r="AB329" s="4">
        <v>4</v>
      </c>
      <c r="AC329" s="4">
        <v>5</v>
      </c>
      <c r="AD329" s="4">
        <v>16</v>
      </c>
      <c r="AE329" s="4">
        <v>20</v>
      </c>
      <c r="AF329" s="4">
        <v>9</v>
      </c>
      <c r="AG329" s="4">
        <v>9</v>
      </c>
      <c r="AH329" s="4">
        <v>4</v>
      </c>
      <c r="AI329" s="4">
        <v>7</v>
      </c>
      <c r="AJ329" s="4">
        <v>7</v>
      </c>
      <c r="AK329" s="4">
        <v>9</v>
      </c>
      <c r="AL329" s="4">
        <v>3</v>
      </c>
      <c r="AM329" s="4">
        <v>4</v>
      </c>
      <c r="AN329" s="4">
        <v>0</v>
      </c>
      <c r="AO329" s="4">
        <v>0</v>
      </c>
      <c r="AP329" s="3" t="s">
        <v>61</v>
      </c>
      <c r="AQ329" s="3" t="s">
        <v>61</v>
      </c>
      <c r="AS329" s="6" t="str">
        <f>HYPERLINK("https://creighton-primo.hosted.exlibrisgroup.com/primo-explore/search?tab=default_tab&amp;search_scope=EVERYTHING&amp;vid=01CRU&amp;lang=en_US&amp;offset=0&amp;query=any,contains,991004395209702656","Catalog Record")</f>
        <v>Catalog Record</v>
      </c>
      <c r="AT329" s="6" t="str">
        <f>HYPERLINK("http://www.worldcat.org/oclc/3275652","WorldCat Record")</f>
        <v>WorldCat Record</v>
      </c>
      <c r="AU329" s="3" t="s">
        <v>3942</v>
      </c>
      <c r="AV329" s="3" t="s">
        <v>3943</v>
      </c>
      <c r="AW329" s="3" t="s">
        <v>3944</v>
      </c>
      <c r="AX329" s="3" t="s">
        <v>3944</v>
      </c>
      <c r="AY329" s="3" t="s">
        <v>3945</v>
      </c>
      <c r="AZ329" s="3" t="s">
        <v>75</v>
      </c>
      <c r="BB329" s="3" t="s">
        <v>3946</v>
      </c>
      <c r="BC329" s="3" t="s">
        <v>3947</v>
      </c>
      <c r="BD329" s="3" t="s">
        <v>3948</v>
      </c>
    </row>
    <row r="330" spans="1:56" ht="44.25" customHeight="1" x14ac:dyDescent="0.25">
      <c r="A330" s="7" t="s">
        <v>61</v>
      </c>
      <c r="B330" s="2" t="s">
        <v>3949</v>
      </c>
      <c r="C330" s="2" t="s">
        <v>3950</v>
      </c>
      <c r="D330" s="2" t="s">
        <v>3951</v>
      </c>
      <c r="F330" s="3" t="s">
        <v>61</v>
      </c>
      <c r="G330" s="3" t="s">
        <v>60</v>
      </c>
      <c r="H330" s="3" t="s">
        <v>61</v>
      </c>
      <c r="I330" s="3" t="s">
        <v>61</v>
      </c>
      <c r="J330" s="3" t="s">
        <v>62</v>
      </c>
      <c r="K330" s="2" t="s">
        <v>3952</v>
      </c>
      <c r="L330" s="2" t="s">
        <v>3953</v>
      </c>
      <c r="M330" s="3" t="s">
        <v>159</v>
      </c>
      <c r="O330" s="3" t="s">
        <v>114</v>
      </c>
      <c r="P330" s="3" t="s">
        <v>235</v>
      </c>
      <c r="Q330" s="2" t="s">
        <v>3954</v>
      </c>
      <c r="R330" s="3" t="s">
        <v>68</v>
      </c>
      <c r="S330" s="4">
        <v>3</v>
      </c>
      <c r="T330" s="4">
        <v>3</v>
      </c>
      <c r="U330" s="5" t="s">
        <v>3955</v>
      </c>
      <c r="V330" s="5" t="s">
        <v>3955</v>
      </c>
      <c r="W330" s="5" t="s">
        <v>3353</v>
      </c>
      <c r="X330" s="5" t="s">
        <v>3353</v>
      </c>
      <c r="Y330" s="4">
        <v>462</v>
      </c>
      <c r="Z330" s="4">
        <v>441</v>
      </c>
      <c r="AA330" s="4">
        <v>534</v>
      </c>
      <c r="AB330" s="4">
        <v>6</v>
      </c>
      <c r="AC330" s="4">
        <v>6</v>
      </c>
      <c r="AD330" s="4">
        <v>26</v>
      </c>
      <c r="AE330" s="4">
        <v>30</v>
      </c>
      <c r="AF330" s="4">
        <v>8</v>
      </c>
      <c r="AG330" s="4">
        <v>10</v>
      </c>
      <c r="AH330" s="4">
        <v>4</v>
      </c>
      <c r="AI330" s="4">
        <v>4</v>
      </c>
      <c r="AJ330" s="4">
        <v>15</v>
      </c>
      <c r="AK330" s="4">
        <v>19</v>
      </c>
      <c r="AL330" s="4">
        <v>5</v>
      </c>
      <c r="AM330" s="4">
        <v>5</v>
      </c>
      <c r="AN330" s="4">
        <v>0</v>
      </c>
      <c r="AO330" s="4">
        <v>0</v>
      </c>
      <c r="AP330" s="3" t="s">
        <v>59</v>
      </c>
      <c r="AQ330" s="3" t="s">
        <v>61</v>
      </c>
      <c r="AR330" s="6" t="str">
        <f>HYPERLINK("http://catalog.hathitrust.org/Record/000240630","HathiTrust Record")</f>
        <v>HathiTrust Record</v>
      </c>
      <c r="AS330" s="6" t="str">
        <f>HYPERLINK("https://creighton-primo.hosted.exlibrisgroup.com/primo-explore/search?tab=default_tab&amp;search_scope=EVERYTHING&amp;vid=01CRU&amp;lang=en_US&amp;offset=0&amp;query=any,contains,991003380789702656","Catalog Record")</f>
        <v>Catalog Record</v>
      </c>
      <c r="AT330" s="6" t="str">
        <f>HYPERLINK("http://www.worldcat.org/oclc/917310","WorldCat Record")</f>
        <v>WorldCat Record</v>
      </c>
      <c r="AU330" s="3" t="s">
        <v>3956</v>
      </c>
      <c r="AV330" s="3" t="s">
        <v>3957</v>
      </c>
      <c r="AW330" s="3" t="s">
        <v>3958</v>
      </c>
      <c r="AX330" s="3" t="s">
        <v>3958</v>
      </c>
      <c r="AY330" s="3" t="s">
        <v>3959</v>
      </c>
      <c r="AZ330" s="3" t="s">
        <v>75</v>
      </c>
      <c r="BC330" s="3" t="s">
        <v>3960</v>
      </c>
      <c r="BD330" s="3" t="s">
        <v>3961</v>
      </c>
    </row>
    <row r="331" spans="1:56" ht="44.25" customHeight="1" x14ac:dyDescent="0.25">
      <c r="A331" s="7" t="s">
        <v>61</v>
      </c>
      <c r="B331" s="2" t="s">
        <v>3962</v>
      </c>
      <c r="C331" s="2" t="s">
        <v>3963</v>
      </c>
      <c r="D331" s="2" t="s">
        <v>3964</v>
      </c>
      <c r="F331" s="3" t="s">
        <v>61</v>
      </c>
      <c r="G331" s="3" t="s">
        <v>60</v>
      </c>
      <c r="H331" s="3" t="s">
        <v>61</v>
      </c>
      <c r="I331" s="3" t="s">
        <v>61</v>
      </c>
      <c r="J331" s="3" t="s">
        <v>62</v>
      </c>
      <c r="K331" s="2" t="s">
        <v>3965</v>
      </c>
      <c r="L331" s="2" t="s">
        <v>3966</v>
      </c>
      <c r="M331" s="3" t="s">
        <v>536</v>
      </c>
      <c r="O331" s="3" t="s">
        <v>114</v>
      </c>
      <c r="P331" s="3" t="s">
        <v>235</v>
      </c>
      <c r="R331" s="3" t="s">
        <v>68</v>
      </c>
      <c r="S331" s="4">
        <v>3</v>
      </c>
      <c r="T331" s="4">
        <v>3</v>
      </c>
      <c r="U331" s="5" t="s">
        <v>3967</v>
      </c>
      <c r="V331" s="5" t="s">
        <v>3967</v>
      </c>
      <c r="W331" s="5" t="s">
        <v>3968</v>
      </c>
      <c r="X331" s="5" t="s">
        <v>3968</v>
      </c>
      <c r="Y331" s="4">
        <v>336</v>
      </c>
      <c r="Z331" s="4">
        <v>294</v>
      </c>
      <c r="AA331" s="4">
        <v>307</v>
      </c>
      <c r="AB331" s="4">
        <v>3</v>
      </c>
      <c r="AC331" s="4">
        <v>3</v>
      </c>
      <c r="AD331" s="4">
        <v>16</v>
      </c>
      <c r="AE331" s="4">
        <v>16</v>
      </c>
      <c r="AF331" s="4">
        <v>2</v>
      </c>
      <c r="AG331" s="4">
        <v>2</v>
      </c>
      <c r="AH331" s="4">
        <v>6</v>
      </c>
      <c r="AI331" s="4">
        <v>6</v>
      </c>
      <c r="AJ331" s="4">
        <v>10</v>
      </c>
      <c r="AK331" s="4">
        <v>10</v>
      </c>
      <c r="AL331" s="4">
        <v>2</v>
      </c>
      <c r="AM331" s="4">
        <v>2</v>
      </c>
      <c r="AN331" s="4">
        <v>0</v>
      </c>
      <c r="AO331" s="4">
        <v>0</v>
      </c>
      <c r="AP331" s="3" t="s">
        <v>61</v>
      </c>
      <c r="AQ331" s="3" t="s">
        <v>61</v>
      </c>
      <c r="AS331" s="6" t="str">
        <f>HYPERLINK("https://creighton-primo.hosted.exlibrisgroup.com/primo-explore/search?tab=default_tab&amp;search_scope=EVERYTHING&amp;vid=01CRU&amp;lang=en_US&amp;offset=0&amp;query=any,contains,991003527819702656","Catalog Record")</f>
        <v>Catalog Record</v>
      </c>
      <c r="AT331" s="6" t="str">
        <f>HYPERLINK("http://www.worldcat.org/oclc/37418210","WorldCat Record")</f>
        <v>WorldCat Record</v>
      </c>
      <c r="AU331" s="3" t="s">
        <v>3969</v>
      </c>
      <c r="AV331" s="3" t="s">
        <v>3970</v>
      </c>
      <c r="AW331" s="3" t="s">
        <v>3971</v>
      </c>
      <c r="AX331" s="3" t="s">
        <v>3971</v>
      </c>
      <c r="AY331" s="3" t="s">
        <v>3972</v>
      </c>
      <c r="AZ331" s="3" t="s">
        <v>75</v>
      </c>
      <c r="BB331" s="3" t="s">
        <v>3973</v>
      </c>
      <c r="BC331" s="3" t="s">
        <v>3974</v>
      </c>
      <c r="BD331" s="3" t="s">
        <v>3975</v>
      </c>
    </row>
    <row r="332" spans="1:56" ht="44.25" customHeight="1" x14ac:dyDescent="0.25">
      <c r="A332" s="7" t="s">
        <v>61</v>
      </c>
      <c r="B332" s="2" t="s">
        <v>3976</v>
      </c>
      <c r="C332" s="2" t="s">
        <v>3977</v>
      </c>
      <c r="D332" s="2" t="s">
        <v>3978</v>
      </c>
      <c r="F332" s="3" t="s">
        <v>61</v>
      </c>
      <c r="G332" s="3" t="s">
        <v>60</v>
      </c>
      <c r="H332" s="3" t="s">
        <v>61</v>
      </c>
      <c r="I332" s="3" t="s">
        <v>61</v>
      </c>
      <c r="J332" s="3" t="s">
        <v>62</v>
      </c>
      <c r="L332" s="2" t="s">
        <v>3979</v>
      </c>
      <c r="M332" s="3" t="s">
        <v>2391</v>
      </c>
      <c r="O332" s="3" t="s">
        <v>114</v>
      </c>
      <c r="P332" s="3" t="s">
        <v>235</v>
      </c>
      <c r="R332" s="3" t="s">
        <v>68</v>
      </c>
      <c r="S332" s="4">
        <v>1</v>
      </c>
      <c r="T332" s="4">
        <v>1</v>
      </c>
      <c r="U332" s="5" t="s">
        <v>3980</v>
      </c>
      <c r="V332" s="5" t="s">
        <v>3980</v>
      </c>
      <c r="W332" s="5" t="s">
        <v>3980</v>
      </c>
      <c r="X332" s="5" t="s">
        <v>3980</v>
      </c>
      <c r="Y332" s="4">
        <v>217</v>
      </c>
      <c r="Z332" s="4">
        <v>150</v>
      </c>
      <c r="AA332" s="4">
        <v>172</v>
      </c>
      <c r="AB332" s="4">
        <v>2</v>
      </c>
      <c r="AC332" s="4">
        <v>2</v>
      </c>
      <c r="AD332" s="4">
        <v>8</v>
      </c>
      <c r="AE332" s="4">
        <v>8</v>
      </c>
      <c r="AF332" s="4">
        <v>1</v>
      </c>
      <c r="AG332" s="4">
        <v>1</v>
      </c>
      <c r="AH332" s="4">
        <v>5</v>
      </c>
      <c r="AI332" s="4">
        <v>5</v>
      </c>
      <c r="AJ332" s="4">
        <v>4</v>
      </c>
      <c r="AK332" s="4">
        <v>4</v>
      </c>
      <c r="AL332" s="4">
        <v>1</v>
      </c>
      <c r="AM332" s="4">
        <v>1</v>
      </c>
      <c r="AN332" s="4">
        <v>0</v>
      </c>
      <c r="AO332" s="4">
        <v>0</v>
      </c>
      <c r="AP332" s="3" t="s">
        <v>61</v>
      </c>
      <c r="AQ332" s="3" t="s">
        <v>61</v>
      </c>
      <c r="AS332" s="6" t="str">
        <f>HYPERLINK("https://creighton-primo.hosted.exlibrisgroup.com/primo-explore/search?tab=default_tab&amp;search_scope=EVERYTHING&amp;vid=01CRU&amp;lang=en_US&amp;offset=0&amp;query=any,contains,991003632999702656","Catalog Record")</f>
        <v>Catalog Record</v>
      </c>
      <c r="AT332" s="6" t="str">
        <f>HYPERLINK("http://www.worldcat.org/oclc/45439919","WorldCat Record")</f>
        <v>WorldCat Record</v>
      </c>
      <c r="AU332" s="3" t="s">
        <v>3981</v>
      </c>
      <c r="AV332" s="3" t="s">
        <v>3982</v>
      </c>
      <c r="AW332" s="3" t="s">
        <v>3983</v>
      </c>
      <c r="AX332" s="3" t="s">
        <v>3983</v>
      </c>
      <c r="AY332" s="3" t="s">
        <v>3984</v>
      </c>
      <c r="AZ332" s="3" t="s">
        <v>75</v>
      </c>
      <c r="BB332" s="3" t="s">
        <v>3985</v>
      </c>
      <c r="BC332" s="3" t="s">
        <v>3986</v>
      </c>
      <c r="BD332" s="3" t="s">
        <v>3987</v>
      </c>
    </row>
    <row r="333" spans="1:56" ht="44.25" customHeight="1" x14ac:dyDescent="0.25">
      <c r="A333" s="7" t="s">
        <v>61</v>
      </c>
      <c r="B333" s="2" t="s">
        <v>3988</v>
      </c>
      <c r="C333" s="2" t="s">
        <v>3989</v>
      </c>
      <c r="D333" s="2" t="s">
        <v>3990</v>
      </c>
      <c r="F333" s="3" t="s">
        <v>61</v>
      </c>
      <c r="G333" s="3" t="s">
        <v>60</v>
      </c>
      <c r="H333" s="3" t="s">
        <v>61</v>
      </c>
      <c r="I333" s="3" t="s">
        <v>61</v>
      </c>
      <c r="J333" s="3" t="s">
        <v>62</v>
      </c>
      <c r="K333" s="2" t="s">
        <v>3991</v>
      </c>
      <c r="L333" s="2" t="s">
        <v>3992</v>
      </c>
      <c r="M333" s="3" t="s">
        <v>3279</v>
      </c>
      <c r="O333" s="3" t="s">
        <v>114</v>
      </c>
      <c r="P333" s="3" t="s">
        <v>115</v>
      </c>
      <c r="Q333" s="2" t="s">
        <v>3993</v>
      </c>
      <c r="R333" s="3" t="s">
        <v>68</v>
      </c>
      <c r="S333" s="4">
        <v>3</v>
      </c>
      <c r="T333" s="4">
        <v>3</v>
      </c>
      <c r="U333" s="5" t="s">
        <v>3994</v>
      </c>
      <c r="V333" s="5" t="s">
        <v>3994</v>
      </c>
      <c r="W333" s="5" t="s">
        <v>3995</v>
      </c>
      <c r="X333" s="5" t="s">
        <v>3995</v>
      </c>
      <c r="Y333" s="4">
        <v>240</v>
      </c>
      <c r="Z333" s="4">
        <v>208</v>
      </c>
      <c r="AA333" s="4">
        <v>312</v>
      </c>
      <c r="AB333" s="4">
        <v>2</v>
      </c>
      <c r="AC333" s="4">
        <v>2</v>
      </c>
      <c r="AD333" s="4">
        <v>11</v>
      </c>
      <c r="AE333" s="4">
        <v>18</v>
      </c>
      <c r="AF333" s="4">
        <v>4</v>
      </c>
      <c r="AG333" s="4">
        <v>6</v>
      </c>
      <c r="AH333" s="4">
        <v>2</v>
      </c>
      <c r="AI333" s="4">
        <v>4</v>
      </c>
      <c r="AJ333" s="4">
        <v>7</v>
      </c>
      <c r="AK333" s="4">
        <v>10</v>
      </c>
      <c r="AL333" s="4">
        <v>1</v>
      </c>
      <c r="AM333" s="4">
        <v>1</v>
      </c>
      <c r="AN333" s="4">
        <v>0</v>
      </c>
      <c r="AO333" s="4">
        <v>0</v>
      </c>
      <c r="AP333" s="3" t="s">
        <v>61</v>
      </c>
      <c r="AQ333" s="3" t="s">
        <v>61</v>
      </c>
      <c r="AS333" s="6" t="str">
        <f>HYPERLINK("https://creighton-primo.hosted.exlibrisgroup.com/primo-explore/search?tab=default_tab&amp;search_scope=EVERYTHING&amp;vid=01CRU&amp;lang=en_US&amp;offset=0&amp;query=any,contains,991002208539702656","Catalog Record")</f>
        <v>Catalog Record</v>
      </c>
      <c r="AT333" s="6" t="str">
        <f>HYPERLINK("http://www.worldcat.org/oclc/287083","WorldCat Record")</f>
        <v>WorldCat Record</v>
      </c>
      <c r="AU333" s="3" t="s">
        <v>3996</v>
      </c>
      <c r="AV333" s="3" t="s">
        <v>3997</v>
      </c>
      <c r="AW333" s="3" t="s">
        <v>3998</v>
      </c>
      <c r="AX333" s="3" t="s">
        <v>3998</v>
      </c>
      <c r="AY333" s="3" t="s">
        <v>3999</v>
      </c>
      <c r="AZ333" s="3" t="s">
        <v>75</v>
      </c>
      <c r="BC333" s="3" t="s">
        <v>4000</v>
      </c>
      <c r="BD333" s="3" t="s">
        <v>4001</v>
      </c>
    </row>
    <row r="334" spans="1:56" ht="44.25" customHeight="1" x14ac:dyDescent="0.25">
      <c r="A334" s="7" t="s">
        <v>61</v>
      </c>
      <c r="B334" s="2" t="s">
        <v>4002</v>
      </c>
      <c r="C334" s="2" t="s">
        <v>4003</v>
      </c>
      <c r="D334" s="2" t="s">
        <v>4004</v>
      </c>
      <c r="F334" s="3" t="s">
        <v>61</v>
      </c>
      <c r="G334" s="3" t="s">
        <v>60</v>
      </c>
      <c r="H334" s="3" t="s">
        <v>61</v>
      </c>
      <c r="I334" s="3" t="s">
        <v>61</v>
      </c>
      <c r="J334" s="3" t="s">
        <v>62</v>
      </c>
      <c r="K334" s="2" t="s">
        <v>4005</v>
      </c>
      <c r="L334" s="2" t="s">
        <v>4006</v>
      </c>
      <c r="M334" s="3" t="s">
        <v>884</v>
      </c>
      <c r="O334" s="3" t="s">
        <v>114</v>
      </c>
      <c r="P334" s="3" t="s">
        <v>235</v>
      </c>
      <c r="Q334" s="2" t="s">
        <v>4007</v>
      </c>
      <c r="R334" s="3" t="s">
        <v>68</v>
      </c>
      <c r="S334" s="4">
        <v>5</v>
      </c>
      <c r="T334" s="4">
        <v>5</v>
      </c>
      <c r="U334" s="5" t="s">
        <v>4008</v>
      </c>
      <c r="V334" s="5" t="s">
        <v>4008</v>
      </c>
      <c r="W334" s="5" t="s">
        <v>4009</v>
      </c>
      <c r="X334" s="5" t="s">
        <v>4009</v>
      </c>
      <c r="Y334" s="4">
        <v>200</v>
      </c>
      <c r="Z334" s="4">
        <v>194</v>
      </c>
      <c r="AA334" s="4">
        <v>261</v>
      </c>
      <c r="AB334" s="4">
        <v>2</v>
      </c>
      <c r="AC334" s="4">
        <v>2</v>
      </c>
      <c r="AD334" s="4">
        <v>10</v>
      </c>
      <c r="AE334" s="4">
        <v>12</v>
      </c>
      <c r="AF334" s="4">
        <v>6</v>
      </c>
      <c r="AG334" s="4">
        <v>6</v>
      </c>
      <c r="AH334" s="4">
        <v>2</v>
      </c>
      <c r="AI334" s="4">
        <v>3</v>
      </c>
      <c r="AJ334" s="4">
        <v>4</v>
      </c>
      <c r="AK334" s="4">
        <v>6</v>
      </c>
      <c r="AL334" s="4">
        <v>1</v>
      </c>
      <c r="AM334" s="4">
        <v>1</v>
      </c>
      <c r="AN334" s="4">
        <v>0</v>
      </c>
      <c r="AO334" s="4">
        <v>0</v>
      </c>
      <c r="AP334" s="3" t="s">
        <v>61</v>
      </c>
      <c r="AQ334" s="3" t="s">
        <v>61</v>
      </c>
      <c r="AS334" s="6" t="str">
        <f>HYPERLINK("https://creighton-primo.hosted.exlibrisgroup.com/primo-explore/search?tab=default_tab&amp;search_scope=EVERYTHING&amp;vid=01CRU&amp;lang=en_US&amp;offset=0&amp;query=any,contains,991000428019702656","Catalog Record")</f>
        <v>Catalog Record</v>
      </c>
      <c r="AT334" s="6" t="str">
        <f>HYPERLINK("http://www.worldcat.org/oclc/75516","WorldCat Record")</f>
        <v>WorldCat Record</v>
      </c>
      <c r="AU334" s="3" t="s">
        <v>4010</v>
      </c>
      <c r="AV334" s="3" t="s">
        <v>4011</v>
      </c>
      <c r="AW334" s="3" t="s">
        <v>4012</v>
      </c>
      <c r="AX334" s="3" t="s">
        <v>4012</v>
      </c>
      <c r="AY334" s="3" t="s">
        <v>4013</v>
      </c>
      <c r="AZ334" s="3" t="s">
        <v>75</v>
      </c>
      <c r="BB334" s="3" t="s">
        <v>4014</v>
      </c>
      <c r="BC334" s="3" t="s">
        <v>4015</v>
      </c>
      <c r="BD334" s="3" t="s">
        <v>4016</v>
      </c>
    </row>
    <row r="335" spans="1:56" ht="44.25" customHeight="1" x14ac:dyDescent="0.25">
      <c r="A335" s="7" t="s">
        <v>61</v>
      </c>
      <c r="B335" s="2" t="s">
        <v>4017</v>
      </c>
      <c r="C335" s="2" t="s">
        <v>4018</v>
      </c>
      <c r="D335" s="2" t="s">
        <v>4019</v>
      </c>
      <c r="F335" s="3" t="s">
        <v>61</v>
      </c>
      <c r="G335" s="3" t="s">
        <v>60</v>
      </c>
      <c r="H335" s="3" t="s">
        <v>61</v>
      </c>
      <c r="I335" s="3" t="s">
        <v>61</v>
      </c>
      <c r="J335" s="3" t="s">
        <v>62</v>
      </c>
      <c r="K335" s="2" t="s">
        <v>4020</v>
      </c>
      <c r="L335" s="2" t="s">
        <v>4021</v>
      </c>
      <c r="M335" s="3" t="s">
        <v>4022</v>
      </c>
      <c r="O335" s="3" t="s">
        <v>114</v>
      </c>
      <c r="P335" s="3" t="s">
        <v>192</v>
      </c>
      <c r="R335" s="3" t="s">
        <v>68</v>
      </c>
      <c r="S335" s="4">
        <v>3</v>
      </c>
      <c r="T335" s="4">
        <v>3</v>
      </c>
      <c r="U335" s="5" t="s">
        <v>4023</v>
      </c>
      <c r="V335" s="5" t="s">
        <v>4023</v>
      </c>
      <c r="W335" s="5" t="s">
        <v>2653</v>
      </c>
      <c r="X335" s="5" t="s">
        <v>2653</v>
      </c>
      <c r="Y335" s="4">
        <v>103</v>
      </c>
      <c r="Z335" s="4">
        <v>55</v>
      </c>
      <c r="AA335" s="4">
        <v>111</v>
      </c>
      <c r="AB335" s="4">
        <v>1</v>
      </c>
      <c r="AC335" s="4">
        <v>1</v>
      </c>
      <c r="AD335" s="4">
        <v>3</v>
      </c>
      <c r="AE335" s="4">
        <v>8</v>
      </c>
      <c r="AF335" s="4">
        <v>2</v>
      </c>
      <c r="AG335" s="4">
        <v>4</v>
      </c>
      <c r="AH335" s="4">
        <v>1</v>
      </c>
      <c r="AI335" s="4">
        <v>3</v>
      </c>
      <c r="AJ335" s="4">
        <v>2</v>
      </c>
      <c r="AK335" s="4">
        <v>5</v>
      </c>
      <c r="AL335" s="4">
        <v>0</v>
      </c>
      <c r="AM335" s="4">
        <v>0</v>
      </c>
      <c r="AN335" s="4">
        <v>0</v>
      </c>
      <c r="AO335" s="4">
        <v>0</v>
      </c>
      <c r="AP335" s="3" t="s">
        <v>61</v>
      </c>
      <c r="AQ335" s="3" t="s">
        <v>59</v>
      </c>
      <c r="AR335" s="6" t="str">
        <f>HYPERLINK("http://catalog.hathitrust.org/Record/000400373","HathiTrust Record")</f>
        <v>HathiTrust Record</v>
      </c>
      <c r="AS335" s="6" t="str">
        <f>HYPERLINK("https://creighton-primo.hosted.exlibrisgroup.com/primo-explore/search?tab=default_tab&amp;search_scope=EVERYTHING&amp;vid=01CRU&amp;lang=en_US&amp;offset=0&amp;query=any,contains,991005120159702656","Catalog Record")</f>
        <v>Catalog Record</v>
      </c>
      <c r="AT335" s="6" t="str">
        <f>HYPERLINK("http://www.worldcat.org/oclc/7497042","WorldCat Record")</f>
        <v>WorldCat Record</v>
      </c>
      <c r="AU335" s="3" t="s">
        <v>4024</v>
      </c>
      <c r="AV335" s="3" t="s">
        <v>4025</v>
      </c>
      <c r="AW335" s="3" t="s">
        <v>4026</v>
      </c>
      <c r="AX335" s="3" t="s">
        <v>4026</v>
      </c>
      <c r="AY335" s="3" t="s">
        <v>4027</v>
      </c>
      <c r="AZ335" s="3" t="s">
        <v>75</v>
      </c>
      <c r="BC335" s="3" t="s">
        <v>4028</v>
      </c>
      <c r="BD335" s="3" t="s">
        <v>4029</v>
      </c>
    </row>
    <row r="336" spans="1:56" ht="44.25" customHeight="1" x14ac:dyDescent="0.25">
      <c r="A336" s="7" t="s">
        <v>61</v>
      </c>
      <c r="B336" s="2" t="s">
        <v>4030</v>
      </c>
      <c r="C336" s="2" t="s">
        <v>4031</v>
      </c>
      <c r="D336" s="2" t="s">
        <v>4032</v>
      </c>
      <c r="F336" s="3" t="s">
        <v>61</v>
      </c>
      <c r="G336" s="3" t="s">
        <v>60</v>
      </c>
      <c r="H336" s="3" t="s">
        <v>61</v>
      </c>
      <c r="I336" s="3" t="s">
        <v>61</v>
      </c>
      <c r="J336" s="3" t="s">
        <v>62</v>
      </c>
      <c r="K336" s="2" t="s">
        <v>4033</v>
      </c>
      <c r="L336" s="2" t="s">
        <v>4034</v>
      </c>
      <c r="M336" s="3" t="s">
        <v>784</v>
      </c>
      <c r="N336" s="2" t="s">
        <v>306</v>
      </c>
      <c r="O336" s="3" t="s">
        <v>114</v>
      </c>
      <c r="P336" s="3" t="s">
        <v>235</v>
      </c>
      <c r="R336" s="3" t="s">
        <v>68</v>
      </c>
      <c r="S336" s="4">
        <v>16</v>
      </c>
      <c r="T336" s="4">
        <v>16</v>
      </c>
      <c r="U336" s="5" t="s">
        <v>2324</v>
      </c>
      <c r="V336" s="5" t="s">
        <v>2324</v>
      </c>
      <c r="W336" s="5" t="s">
        <v>1732</v>
      </c>
      <c r="X336" s="5" t="s">
        <v>1732</v>
      </c>
      <c r="Y336" s="4">
        <v>455</v>
      </c>
      <c r="Z336" s="4">
        <v>389</v>
      </c>
      <c r="AA336" s="4">
        <v>493</v>
      </c>
      <c r="AB336" s="4">
        <v>5</v>
      </c>
      <c r="AC336" s="4">
        <v>5</v>
      </c>
      <c r="AD336" s="4">
        <v>19</v>
      </c>
      <c r="AE336" s="4">
        <v>25</v>
      </c>
      <c r="AF336" s="4">
        <v>7</v>
      </c>
      <c r="AG336" s="4">
        <v>10</v>
      </c>
      <c r="AH336" s="4">
        <v>5</v>
      </c>
      <c r="AI336" s="4">
        <v>5</v>
      </c>
      <c r="AJ336" s="4">
        <v>9</v>
      </c>
      <c r="AK336" s="4">
        <v>13</v>
      </c>
      <c r="AL336" s="4">
        <v>3</v>
      </c>
      <c r="AM336" s="4">
        <v>3</v>
      </c>
      <c r="AN336" s="4">
        <v>0</v>
      </c>
      <c r="AO336" s="4">
        <v>0</v>
      </c>
      <c r="AP336" s="3" t="s">
        <v>61</v>
      </c>
      <c r="AQ336" s="3" t="s">
        <v>61</v>
      </c>
      <c r="AS336" s="6" t="str">
        <f>HYPERLINK("https://creighton-primo.hosted.exlibrisgroup.com/primo-explore/search?tab=default_tab&amp;search_scope=EVERYTHING&amp;vid=01CRU&amp;lang=en_US&amp;offset=0&amp;query=any,contains,991005355119702656","Catalog Record")</f>
        <v>Catalog Record</v>
      </c>
      <c r="AT336" s="6" t="str">
        <f>HYPERLINK("http://www.worldcat.org/oclc/390866","WorldCat Record")</f>
        <v>WorldCat Record</v>
      </c>
      <c r="AU336" s="3" t="s">
        <v>4035</v>
      </c>
      <c r="AV336" s="3" t="s">
        <v>4036</v>
      </c>
      <c r="AW336" s="3" t="s">
        <v>4037</v>
      </c>
      <c r="AX336" s="3" t="s">
        <v>4037</v>
      </c>
      <c r="AY336" s="3" t="s">
        <v>4038</v>
      </c>
      <c r="AZ336" s="3" t="s">
        <v>75</v>
      </c>
      <c r="BC336" s="3" t="s">
        <v>4039</v>
      </c>
      <c r="BD336" s="3" t="s">
        <v>4040</v>
      </c>
    </row>
    <row r="337" spans="1:56" ht="44.25" customHeight="1" x14ac:dyDescent="0.25">
      <c r="A337" s="7" t="s">
        <v>61</v>
      </c>
      <c r="B337" s="2" t="s">
        <v>4041</v>
      </c>
      <c r="C337" s="2" t="s">
        <v>4042</v>
      </c>
      <c r="D337" s="2" t="s">
        <v>4043</v>
      </c>
      <c r="F337" s="3" t="s">
        <v>61</v>
      </c>
      <c r="G337" s="3" t="s">
        <v>60</v>
      </c>
      <c r="H337" s="3" t="s">
        <v>61</v>
      </c>
      <c r="I337" s="3" t="s">
        <v>61</v>
      </c>
      <c r="J337" s="3" t="s">
        <v>62</v>
      </c>
      <c r="K337" s="2" t="s">
        <v>4044</v>
      </c>
      <c r="L337" s="2" t="s">
        <v>4045</v>
      </c>
      <c r="M337" s="3" t="s">
        <v>1744</v>
      </c>
      <c r="O337" s="3" t="s">
        <v>114</v>
      </c>
      <c r="P337" s="3" t="s">
        <v>160</v>
      </c>
      <c r="R337" s="3" t="s">
        <v>68</v>
      </c>
      <c r="S337" s="4">
        <v>6</v>
      </c>
      <c r="T337" s="4">
        <v>6</v>
      </c>
      <c r="U337" s="5" t="s">
        <v>1817</v>
      </c>
      <c r="V337" s="5" t="s">
        <v>1817</v>
      </c>
      <c r="W337" s="5" t="s">
        <v>2699</v>
      </c>
      <c r="X337" s="5" t="s">
        <v>2699</v>
      </c>
      <c r="Y337" s="4">
        <v>266</v>
      </c>
      <c r="Z337" s="4">
        <v>183</v>
      </c>
      <c r="AA337" s="4">
        <v>353</v>
      </c>
      <c r="AB337" s="4">
        <v>3</v>
      </c>
      <c r="AC337" s="4">
        <v>4</v>
      </c>
      <c r="AD337" s="4">
        <v>10</v>
      </c>
      <c r="AE337" s="4">
        <v>18</v>
      </c>
      <c r="AF337" s="4">
        <v>3</v>
      </c>
      <c r="AG337" s="4">
        <v>6</v>
      </c>
      <c r="AH337" s="4">
        <v>2</v>
      </c>
      <c r="AI337" s="4">
        <v>6</v>
      </c>
      <c r="AJ337" s="4">
        <v>4</v>
      </c>
      <c r="AK337" s="4">
        <v>4</v>
      </c>
      <c r="AL337" s="4">
        <v>2</v>
      </c>
      <c r="AM337" s="4">
        <v>3</v>
      </c>
      <c r="AN337" s="4">
        <v>0</v>
      </c>
      <c r="AO337" s="4">
        <v>0</v>
      </c>
      <c r="AP337" s="3" t="s">
        <v>61</v>
      </c>
      <c r="AQ337" s="3" t="s">
        <v>59</v>
      </c>
      <c r="AR337" s="6" t="str">
        <f>HYPERLINK("http://catalog.hathitrust.org/Record/000401688","HathiTrust Record")</f>
        <v>HathiTrust Record</v>
      </c>
      <c r="AS337" s="6" t="str">
        <f>HYPERLINK("https://creighton-primo.hosted.exlibrisgroup.com/primo-explore/search?tab=default_tab&amp;search_scope=EVERYTHING&amp;vid=01CRU&amp;lang=en_US&amp;offset=0&amp;query=any,contains,991003666289702656","Catalog Record")</f>
        <v>Catalog Record</v>
      </c>
      <c r="AT337" s="6" t="str">
        <f>HYPERLINK("http://www.worldcat.org/oclc/1220842","WorldCat Record")</f>
        <v>WorldCat Record</v>
      </c>
      <c r="AU337" s="3" t="s">
        <v>4046</v>
      </c>
      <c r="AV337" s="3" t="s">
        <v>4047</v>
      </c>
      <c r="AW337" s="3" t="s">
        <v>4048</v>
      </c>
      <c r="AX337" s="3" t="s">
        <v>4048</v>
      </c>
      <c r="AY337" s="3" t="s">
        <v>4049</v>
      </c>
      <c r="AZ337" s="3" t="s">
        <v>75</v>
      </c>
      <c r="BC337" s="3" t="s">
        <v>4050</v>
      </c>
      <c r="BD337" s="3" t="s">
        <v>4051</v>
      </c>
    </row>
    <row r="338" spans="1:56" ht="44.25" customHeight="1" x14ac:dyDescent="0.25">
      <c r="A338" s="7" t="s">
        <v>61</v>
      </c>
      <c r="B338" s="2" t="s">
        <v>4052</v>
      </c>
      <c r="C338" s="2" t="s">
        <v>4053</v>
      </c>
      <c r="D338" s="2" t="s">
        <v>4054</v>
      </c>
      <c r="F338" s="3" t="s">
        <v>61</v>
      </c>
      <c r="G338" s="3" t="s">
        <v>60</v>
      </c>
      <c r="H338" s="3" t="s">
        <v>61</v>
      </c>
      <c r="I338" s="3" t="s">
        <v>61</v>
      </c>
      <c r="J338" s="3" t="s">
        <v>62</v>
      </c>
      <c r="K338" s="2" t="s">
        <v>4055</v>
      </c>
      <c r="L338" s="2" t="s">
        <v>4056</v>
      </c>
      <c r="M338" s="3" t="s">
        <v>1758</v>
      </c>
      <c r="O338" s="3" t="s">
        <v>114</v>
      </c>
      <c r="P338" s="3" t="s">
        <v>235</v>
      </c>
      <c r="R338" s="3" t="s">
        <v>68</v>
      </c>
      <c r="S338" s="4">
        <v>3</v>
      </c>
      <c r="T338" s="4">
        <v>3</v>
      </c>
      <c r="U338" s="5" t="s">
        <v>4057</v>
      </c>
      <c r="V338" s="5" t="s">
        <v>4057</v>
      </c>
      <c r="W338" s="5" t="s">
        <v>1732</v>
      </c>
      <c r="X338" s="5" t="s">
        <v>1732</v>
      </c>
      <c r="Y338" s="4">
        <v>354</v>
      </c>
      <c r="Z338" s="4">
        <v>336</v>
      </c>
      <c r="AA338" s="4">
        <v>339</v>
      </c>
      <c r="AB338" s="4">
        <v>2</v>
      </c>
      <c r="AC338" s="4">
        <v>2</v>
      </c>
      <c r="AD338" s="4">
        <v>10</v>
      </c>
      <c r="AE338" s="4">
        <v>10</v>
      </c>
      <c r="AF338" s="4">
        <v>5</v>
      </c>
      <c r="AG338" s="4">
        <v>5</v>
      </c>
      <c r="AH338" s="4">
        <v>1</v>
      </c>
      <c r="AI338" s="4">
        <v>1</v>
      </c>
      <c r="AJ338" s="4">
        <v>5</v>
      </c>
      <c r="AK338" s="4">
        <v>5</v>
      </c>
      <c r="AL338" s="4">
        <v>1</v>
      </c>
      <c r="AM338" s="4">
        <v>1</v>
      </c>
      <c r="AN338" s="4">
        <v>0</v>
      </c>
      <c r="AO338" s="4">
        <v>0</v>
      </c>
      <c r="AP338" s="3" t="s">
        <v>61</v>
      </c>
      <c r="AQ338" s="3" t="s">
        <v>59</v>
      </c>
      <c r="AR338" s="6" t="str">
        <f>HYPERLINK("http://catalog.hathitrust.org/Record/009904803","HathiTrust Record")</f>
        <v>HathiTrust Record</v>
      </c>
      <c r="AS338" s="6" t="str">
        <f>HYPERLINK("https://creighton-primo.hosted.exlibrisgroup.com/primo-explore/search?tab=default_tab&amp;search_scope=EVERYTHING&amp;vid=01CRU&amp;lang=en_US&amp;offset=0&amp;query=any,contains,991005135909702656","Catalog Record")</f>
        <v>Catalog Record</v>
      </c>
      <c r="AT338" s="6" t="str">
        <f>HYPERLINK("http://www.worldcat.org/oclc/7576852","WorldCat Record")</f>
        <v>WorldCat Record</v>
      </c>
      <c r="AU338" s="3" t="s">
        <v>4058</v>
      </c>
      <c r="AV338" s="3" t="s">
        <v>4059</v>
      </c>
      <c r="AW338" s="3" t="s">
        <v>4060</v>
      </c>
      <c r="AX338" s="3" t="s">
        <v>4060</v>
      </c>
      <c r="AY338" s="3" t="s">
        <v>4061</v>
      </c>
      <c r="AZ338" s="3" t="s">
        <v>75</v>
      </c>
      <c r="BB338" s="3" t="s">
        <v>4062</v>
      </c>
      <c r="BC338" s="3" t="s">
        <v>4063</v>
      </c>
      <c r="BD338" s="3" t="s">
        <v>4064</v>
      </c>
    </row>
    <row r="339" spans="1:56" ht="44.25" customHeight="1" x14ac:dyDescent="0.25">
      <c r="A339" s="7" t="s">
        <v>61</v>
      </c>
      <c r="B339" s="2" t="s">
        <v>4065</v>
      </c>
      <c r="C339" s="2" t="s">
        <v>4066</v>
      </c>
      <c r="D339" s="2" t="s">
        <v>4067</v>
      </c>
      <c r="F339" s="3" t="s">
        <v>61</v>
      </c>
      <c r="G339" s="3" t="s">
        <v>60</v>
      </c>
      <c r="H339" s="3" t="s">
        <v>61</v>
      </c>
      <c r="I339" s="3" t="s">
        <v>61</v>
      </c>
      <c r="J339" s="3" t="s">
        <v>62</v>
      </c>
      <c r="L339" s="2" t="s">
        <v>4068</v>
      </c>
      <c r="M339" s="3" t="s">
        <v>495</v>
      </c>
      <c r="O339" s="3" t="s">
        <v>114</v>
      </c>
      <c r="P339" s="3" t="s">
        <v>649</v>
      </c>
      <c r="Q339" s="2" t="s">
        <v>4069</v>
      </c>
      <c r="R339" s="3" t="s">
        <v>68</v>
      </c>
      <c r="S339" s="4">
        <v>3</v>
      </c>
      <c r="T339" s="4">
        <v>3</v>
      </c>
      <c r="U339" s="5" t="s">
        <v>3753</v>
      </c>
      <c r="V339" s="5" t="s">
        <v>3753</v>
      </c>
      <c r="W339" s="5" t="s">
        <v>4070</v>
      </c>
      <c r="X339" s="5" t="s">
        <v>4070</v>
      </c>
      <c r="Y339" s="4">
        <v>604</v>
      </c>
      <c r="Z339" s="4">
        <v>560</v>
      </c>
      <c r="AA339" s="4">
        <v>563</v>
      </c>
      <c r="AB339" s="4">
        <v>2</v>
      </c>
      <c r="AC339" s="4">
        <v>2</v>
      </c>
      <c r="AD339" s="4">
        <v>17</v>
      </c>
      <c r="AE339" s="4">
        <v>17</v>
      </c>
      <c r="AF339" s="4">
        <v>6</v>
      </c>
      <c r="AG339" s="4">
        <v>6</v>
      </c>
      <c r="AH339" s="4">
        <v>5</v>
      </c>
      <c r="AI339" s="4">
        <v>5</v>
      </c>
      <c r="AJ339" s="4">
        <v>9</v>
      </c>
      <c r="AK339" s="4">
        <v>9</v>
      </c>
      <c r="AL339" s="4">
        <v>1</v>
      </c>
      <c r="AM339" s="4">
        <v>1</v>
      </c>
      <c r="AN339" s="4">
        <v>0</v>
      </c>
      <c r="AO339" s="4">
        <v>0</v>
      </c>
      <c r="AP339" s="3" t="s">
        <v>61</v>
      </c>
      <c r="AQ339" s="3" t="s">
        <v>59</v>
      </c>
      <c r="AR339" s="6" t="str">
        <f>HYPERLINK("http://catalog.hathitrust.org/Record/003100693","HathiTrust Record")</f>
        <v>HathiTrust Record</v>
      </c>
      <c r="AS339" s="6" t="str">
        <f>HYPERLINK("https://creighton-primo.hosted.exlibrisgroup.com/primo-explore/search?tab=default_tab&amp;search_scope=EVERYTHING&amp;vid=01CRU&amp;lang=en_US&amp;offset=0&amp;query=any,contains,991002593459702656","Catalog Record")</f>
        <v>Catalog Record</v>
      </c>
      <c r="AT339" s="6" t="str">
        <f>HYPERLINK("http://www.worldcat.org/oclc/33971035","WorldCat Record")</f>
        <v>WorldCat Record</v>
      </c>
      <c r="AU339" s="3" t="s">
        <v>4071</v>
      </c>
      <c r="AV339" s="3" t="s">
        <v>4072</v>
      </c>
      <c r="AW339" s="3" t="s">
        <v>4073</v>
      </c>
      <c r="AX339" s="3" t="s">
        <v>4073</v>
      </c>
      <c r="AY339" s="3" t="s">
        <v>4074</v>
      </c>
      <c r="AZ339" s="3" t="s">
        <v>75</v>
      </c>
      <c r="BB339" s="3" t="s">
        <v>4075</v>
      </c>
      <c r="BC339" s="3" t="s">
        <v>4076</v>
      </c>
      <c r="BD339" s="3" t="s">
        <v>4077</v>
      </c>
    </row>
    <row r="340" spans="1:56" ht="44.25" customHeight="1" x14ac:dyDescent="0.25">
      <c r="A340" s="7" t="s">
        <v>61</v>
      </c>
      <c r="B340" s="2" t="s">
        <v>4078</v>
      </c>
      <c r="C340" s="2" t="s">
        <v>4079</v>
      </c>
      <c r="D340" s="2" t="s">
        <v>4080</v>
      </c>
      <c r="F340" s="3" t="s">
        <v>61</v>
      </c>
      <c r="G340" s="3" t="s">
        <v>60</v>
      </c>
      <c r="H340" s="3" t="s">
        <v>61</v>
      </c>
      <c r="I340" s="3" t="s">
        <v>61</v>
      </c>
      <c r="J340" s="3" t="s">
        <v>62</v>
      </c>
      <c r="K340" s="2" t="s">
        <v>4081</v>
      </c>
      <c r="L340" s="2" t="s">
        <v>4082</v>
      </c>
      <c r="M340" s="3" t="s">
        <v>4022</v>
      </c>
      <c r="N340" s="2" t="s">
        <v>838</v>
      </c>
      <c r="O340" s="3" t="s">
        <v>114</v>
      </c>
      <c r="P340" s="3" t="s">
        <v>67</v>
      </c>
      <c r="R340" s="3" t="s">
        <v>68</v>
      </c>
      <c r="S340" s="4">
        <v>3</v>
      </c>
      <c r="T340" s="4">
        <v>3</v>
      </c>
      <c r="U340" s="5" t="s">
        <v>3955</v>
      </c>
      <c r="V340" s="5" t="s">
        <v>3955</v>
      </c>
      <c r="W340" s="5" t="s">
        <v>4083</v>
      </c>
      <c r="X340" s="5" t="s">
        <v>4083</v>
      </c>
      <c r="Y340" s="4">
        <v>134</v>
      </c>
      <c r="Z340" s="4">
        <v>117</v>
      </c>
      <c r="AA340" s="4">
        <v>192</v>
      </c>
      <c r="AB340" s="4">
        <v>1</v>
      </c>
      <c r="AC340" s="4">
        <v>1</v>
      </c>
      <c r="AD340" s="4">
        <v>4</v>
      </c>
      <c r="AE340" s="4">
        <v>7</v>
      </c>
      <c r="AF340" s="4">
        <v>0</v>
      </c>
      <c r="AG340" s="4">
        <v>2</v>
      </c>
      <c r="AH340" s="4">
        <v>0</v>
      </c>
      <c r="AI340" s="4">
        <v>1</v>
      </c>
      <c r="AJ340" s="4">
        <v>4</v>
      </c>
      <c r="AK340" s="4">
        <v>5</v>
      </c>
      <c r="AL340" s="4">
        <v>0</v>
      </c>
      <c r="AM340" s="4">
        <v>0</v>
      </c>
      <c r="AN340" s="4">
        <v>0</v>
      </c>
      <c r="AO340" s="4">
        <v>0</v>
      </c>
      <c r="AP340" s="3" t="s">
        <v>61</v>
      </c>
      <c r="AQ340" s="3" t="s">
        <v>59</v>
      </c>
      <c r="AR340" s="6" t="str">
        <f>HYPERLINK("http://catalog.hathitrust.org/Record/000397907","HathiTrust Record")</f>
        <v>HathiTrust Record</v>
      </c>
      <c r="AS340" s="6" t="str">
        <f>HYPERLINK("https://creighton-primo.hosted.exlibrisgroup.com/primo-explore/search?tab=default_tab&amp;search_scope=EVERYTHING&amp;vid=01CRU&amp;lang=en_US&amp;offset=0&amp;query=any,contains,991003983099702656","Catalog Record")</f>
        <v>Catalog Record</v>
      </c>
      <c r="AT340" s="6" t="str">
        <f>HYPERLINK("http://www.worldcat.org/oclc/2021693","WorldCat Record")</f>
        <v>WorldCat Record</v>
      </c>
      <c r="AU340" s="3" t="s">
        <v>4084</v>
      </c>
      <c r="AV340" s="3" t="s">
        <v>4085</v>
      </c>
      <c r="AW340" s="3" t="s">
        <v>4086</v>
      </c>
      <c r="AX340" s="3" t="s">
        <v>4086</v>
      </c>
      <c r="AY340" s="3" t="s">
        <v>4087</v>
      </c>
      <c r="AZ340" s="3" t="s">
        <v>75</v>
      </c>
      <c r="BC340" s="3" t="s">
        <v>4088</v>
      </c>
      <c r="BD340" s="3" t="s">
        <v>4089</v>
      </c>
    </row>
    <row r="341" spans="1:56" ht="44.25" customHeight="1" x14ac:dyDescent="0.25">
      <c r="A341" s="7" t="s">
        <v>61</v>
      </c>
      <c r="B341" s="2" t="s">
        <v>4090</v>
      </c>
      <c r="C341" s="2" t="s">
        <v>4091</v>
      </c>
      <c r="D341" s="2" t="s">
        <v>4092</v>
      </c>
      <c r="E341" s="3" t="s">
        <v>141</v>
      </c>
      <c r="F341" s="3" t="s">
        <v>59</v>
      </c>
      <c r="G341" s="3" t="s">
        <v>60</v>
      </c>
      <c r="H341" s="3" t="s">
        <v>61</v>
      </c>
      <c r="I341" s="3" t="s">
        <v>61</v>
      </c>
      <c r="J341" s="3" t="s">
        <v>62</v>
      </c>
      <c r="K341" s="2" t="s">
        <v>4093</v>
      </c>
      <c r="L341" s="2" t="s">
        <v>4094</v>
      </c>
      <c r="M341" s="3" t="s">
        <v>4095</v>
      </c>
      <c r="O341" s="3" t="s">
        <v>114</v>
      </c>
      <c r="P341" s="3" t="s">
        <v>67</v>
      </c>
      <c r="R341" s="3" t="s">
        <v>68</v>
      </c>
      <c r="S341" s="4">
        <v>3</v>
      </c>
      <c r="T341" s="4">
        <v>7</v>
      </c>
      <c r="U341" s="5" t="s">
        <v>3232</v>
      </c>
      <c r="V341" s="5" t="s">
        <v>3232</v>
      </c>
      <c r="W341" s="5" t="s">
        <v>4009</v>
      </c>
      <c r="X341" s="5" t="s">
        <v>1732</v>
      </c>
      <c r="Y341" s="4">
        <v>183</v>
      </c>
      <c r="Z341" s="4">
        <v>172</v>
      </c>
      <c r="AA341" s="4">
        <v>634</v>
      </c>
      <c r="AB341" s="4">
        <v>2</v>
      </c>
      <c r="AC341" s="4">
        <v>9</v>
      </c>
      <c r="AD341" s="4">
        <v>6</v>
      </c>
      <c r="AE341" s="4">
        <v>29</v>
      </c>
      <c r="AF341" s="4">
        <v>3</v>
      </c>
      <c r="AG341" s="4">
        <v>7</v>
      </c>
      <c r="AH341" s="4">
        <v>3</v>
      </c>
      <c r="AI341" s="4">
        <v>9</v>
      </c>
      <c r="AJ341" s="4">
        <v>1</v>
      </c>
      <c r="AK341" s="4">
        <v>14</v>
      </c>
      <c r="AL341" s="4">
        <v>1</v>
      </c>
      <c r="AM341" s="4">
        <v>6</v>
      </c>
      <c r="AN341" s="4">
        <v>0</v>
      </c>
      <c r="AO341" s="4">
        <v>0</v>
      </c>
      <c r="AP341" s="3" t="s">
        <v>59</v>
      </c>
      <c r="AQ341" s="3" t="s">
        <v>61</v>
      </c>
      <c r="AR341" s="6" t="str">
        <f>HYPERLINK("http://catalog.hathitrust.org/Record/009792698","HathiTrust Record")</f>
        <v>HathiTrust Record</v>
      </c>
      <c r="AS341" s="6" t="str">
        <f>HYPERLINK("https://creighton-primo.hosted.exlibrisgroup.com/primo-explore/search?tab=default_tab&amp;search_scope=EVERYTHING&amp;vid=01CRU&amp;lang=en_US&amp;offset=0&amp;query=any,contains,991002997869702656","Catalog Record")</f>
        <v>Catalog Record</v>
      </c>
      <c r="AT341" s="6" t="str">
        <f>HYPERLINK("http://www.worldcat.org/oclc/566431","WorldCat Record")</f>
        <v>WorldCat Record</v>
      </c>
      <c r="AU341" s="3" t="s">
        <v>4096</v>
      </c>
      <c r="AV341" s="3" t="s">
        <v>4097</v>
      </c>
      <c r="AW341" s="3" t="s">
        <v>4098</v>
      </c>
      <c r="AX341" s="3" t="s">
        <v>4098</v>
      </c>
      <c r="AY341" s="3" t="s">
        <v>4099</v>
      </c>
      <c r="AZ341" s="3" t="s">
        <v>75</v>
      </c>
      <c r="BC341" s="3" t="s">
        <v>4100</v>
      </c>
      <c r="BD341" s="3" t="s">
        <v>4101</v>
      </c>
    </row>
    <row r="342" spans="1:56" ht="44.25" customHeight="1" x14ac:dyDescent="0.25">
      <c r="A342" s="7" t="s">
        <v>61</v>
      </c>
      <c r="B342" s="2" t="s">
        <v>4090</v>
      </c>
      <c r="C342" s="2" t="s">
        <v>4091</v>
      </c>
      <c r="D342" s="2" t="s">
        <v>4092</v>
      </c>
      <c r="E342" s="3" t="s">
        <v>84</v>
      </c>
      <c r="F342" s="3" t="s">
        <v>59</v>
      </c>
      <c r="G342" s="3" t="s">
        <v>60</v>
      </c>
      <c r="H342" s="3" t="s">
        <v>61</v>
      </c>
      <c r="I342" s="3" t="s">
        <v>61</v>
      </c>
      <c r="J342" s="3" t="s">
        <v>62</v>
      </c>
      <c r="K342" s="2" t="s">
        <v>4093</v>
      </c>
      <c r="L342" s="2" t="s">
        <v>4094</v>
      </c>
      <c r="M342" s="3" t="s">
        <v>4095</v>
      </c>
      <c r="O342" s="3" t="s">
        <v>114</v>
      </c>
      <c r="P342" s="3" t="s">
        <v>67</v>
      </c>
      <c r="R342" s="3" t="s">
        <v>68</v>
      </c>
      <c r="S342" s="4">
        <v>1</v>
      </c>
      <c r="T342" s="4">
        <v>7</v>
      </c>
      <c r="V342" s="5" t="s">
        <v>3232</v>
      </c>
      <c r="W342" s="5" t="s">
        <v>1732</v>
      </c>
      <c r="X342" s="5" t="s">
        <v>1732</v>
      </c>
      <c r="Y342" s="4">
        <v>183</v>
      </c>
      <c r="Z342" s="4">
        <v>172</v>
      </c>
      <c r="AA342" s="4">
        <v>634</v>
      </c>
      <c r="AB342" s="4">
        <v>2</v>
      </c>
      <c r="AC342" s="4">
        <v>9</v>
      </c>
      <c r="AD342" s="4">
        <v>6</v>
      </c>
      <c r="AE342" s="4">
        <v>29</v>
      </c>
      <c r="AF342" s="4">
        <v>3</v>
      </c>
      <c r="AG342" s="4">
        <v>7</v>
      </c>
      <c r="AH342" s="4">
        <v>3</v>
      </c>
      <c r="AI342" s="4">
        <v>9</v>
      </c>
      <c r="AJ342" s="4">
        <v>1</v>
      </c>
      <c r="AK342" s="4">
        <v>14</v>
      </c>
      <c r="AL342" s="4">
        <v>1</v>
      </c>
      <c r="AM342" s="4">
        <v>6</v>
      </c>
      <c r="AN342" s="4">
        <v>0</v>
      </c>
      <c r="AO342" s="4">
        <v>0</v>
      </c>
      <c r="AP342" s="3" t="s">
        <v>59</v>
      </c>
      <c r="AQ342" s="3" t="s">
        <v>61</v>
      </c>
      <c r="AR342" s="6" t="str">
        <f>HYPERLINK("http://catalog.hathitrust.org/Record/009792698","HathiTrust Record")</f>
        <v>HathiTrust Record</v>
      </c>
      <c r="AS342" s="6" t="str">
        <f>HYPERLINK("https://creighton-primo.hosted.exlibrisgroup.com/primo-explore/search?tab=default_tab&amp;search_scope=EVERYTHING&amp;vid=01CRU&amp;lang=en_US&amp;offset=0&amp;query=any,contains,991002997869702656","Catalog Record")</f>
        <v>Catalog Record</v>
      </c>
      <c r="AT342" s="6" t="str">
        <f>HYPERLINK("http://www.worldcat.org/oclc/566431","WorldCat Record")</f>
        <v>WorldCat Record</v>
      </c>
      <c r="AU342" s="3" t="s">
        <v>4096</v>
      </c>
      <c r="AV342" s="3" t="s">
        <v>4097</v>
      </c>
      <c r="AW342" s="3" t="s">
        <v>4098</v>
      </c>
      <c r="AX342" s="3" t="s">
        <v>4098</v>
      </c>
      <c r="AY342" s="3" t="s">
        <v>4099</v>
      </c>
      <c r="AZ342" s="3" t="s">
        <v>75</v>
      </c>
      <c r="BC342" s="3" t="s">
        <v>4102</v>
      </c>
      <c r="BD342" s="3" t="s">
        <v>4103</v>
      </c>
    </row>
    <row r="343" spans="1:56" ht="44.25" customHeight="1" x14ac:dyDescent="0.25">
      <c r="A343" s="7" t="s">
        <v>61</v>
      </c>
      <c r="B343" s="2" t="s">
        <v>4090</v>
      </c>
      <c r="C343" s="2" t="s">
        <v>4091</v>
      </c>
      <c r="D343" s="2" t="s">
        <v>4092</v>
      </c>
      <c r="E343" s="3" t="s">
        <v>90</v>
      </c>
      <c r="F343" s="3" t="s">
        <v>59</v>
      </c>
      <c r="G343" s="3" t="s">
        <v>60</v>
      </c>
      <c r="H343" s="3" t="s">
        <v>61</v>
      </c>
      <c r="I343" s="3" t="s">
        <v>61</v>
      </c>
      <c r="J343" s="3" t="s">
        <v>62</v>
      </c>
      <c r="K343" s="2" t="s">
        <v>4093</v>
      </c>
      <c r="L343" s="2" t="s">
        <v>4094</v>
      </c>
      <c r="M343" s="3" t="s">
        <v>4095</v>
      </c>
      <c r="O343" s="3" t="s">
        <v>114</v>
      </c>
      <c r="P343" s="3" t="s">
        <v>67</v>
      </c>
      <c r="R343" s="3" t="s">
        <v>68</v>
      </c>
      <c r="S343" s="4">
        <v>3</v>
      </c>
      <c r="T343" s="4">
        <v>7</v>
      </c>
      <c r="U343" s="5" t="s">
        <v>3232</v>
      </c>
      <c r="V343" s="5" t="s">
        <v>3232</v>
      </c>
      <c r="W343" s="5" t="s">
        <v>1732</v>
      </c>
      <c r="X343" s="5" t="s">
        <v>1732</v>
      </c>
      <c r="Y343" s="4">
        <v>183</v>
      </c>
      <c r="Z343" s="4">
        <v>172</v>
      </c>
      <c r="AA343" s="4">
        <v>634</v>
      </c>
      <c r="AB343" s="4">
        <v>2</v>
      </c>
      <c r="AC343" s="4">
        <v>9</v>
      </c>
      <c r="AD343" s="4">
        <v>6</v>
      </c>
      <c r="AE343" s="4">
        <v>29</v>
      </c>
      <c r="AF343" s="4">
        <v>3</v>
      </c>
      <c r="AG343" s="4">
        <v>7</v>
      </c>
      <c r="AH343" s="4">
        <v>3</v>
      </c>
      <c r="AI343" s="4">
        <v>9</v>
      </c>
      <c r="AJ343" s="4">
        <v>1</v>
      </c>
      <c r="AK343" s="4">
        <v>14</v>
      </c>
      <c r="AL343" s="4">
        <v>1</v>
      </c>
      <c r="AM343" s="4">
        <v>6</v>
      </c>
      <c r="AN343" s="4">
        <v>0</v>
      </c>
      <c r="AO343" s="4">
        <v>0</v>
      </c>
      <c r="AP343" s="3" t="s">
        <v>59</v>
      </c>
      <c r="AQ343" s="3" t="s">
        <v>61</v>
      </c>
      <c r="AR343" s="6" t="str">
        <f>HYPERLINK("http://catalog.hathitrust.org/Record/009792698","HathiTrust Record")</f>
        <v>HathiTrust Record</v>
      </c>
      <c r="AS343" s="6" t="str">
        <f>HYPERLINK("https://creighton-primo.hosted.exlibrisgroup.com/primo-explore/search?tab=default_tab&amp;search_scope=EVERYTHING&amp;vid=01CRU&amp;lang=en_US&amp;offset=0&amp;query=any,contains,991002997869702656","Catalog Record")</f>
        <v>Catalog Record</v>
      </c>
      <c r="AT343" s="6" t="str">
        <f>HYPERLINK("http://www.worldcat.org/oclc/566431","WorldCat Record")</f>
        <v>WorldCat Record</v>
      </c>
      <c r="AU343" s="3" t="s">
        <v>4096</v>
      </c>
      <c r="AV343" s="3" t="s">
        <v>4097</v>
      </c>
      <c r="AW343" s="3" t="s">
        <v>4098</v>
      </c>
      <c r="AX343" s="3" t="s">
        <v>4098</v>
      </c>
      <c r="AY343" s="3" t="s">
        <v>4099</v>
      </c>
      <c r="AZ343" s="3" t="s">
        <v>75</v>
      </c>
      <c r="BC343" s="3" t="s">
        <v>4104</v>
      </c>
      <c r="BD343" s="3" t="s">
        <v>4105</v>
      </c>
    </row>
    <row r="344" spans="1:56" ht="44.25" customHeight="1" x14ac:dyDescent="0.25">
      <c r="A344" s="7" t="s">
        <v>61</v>
      </c>
      <c r="B344" s="2" t="s">
        <v>4106</v>
      </c>
      <c r="C344" s="2" t="s">
        <v>4107</v>
      </c>
      <c r="D344" s="2" t="s">
        <v>4108</v>
      </c>
      <c r="F344" s="3" t="s">
        <v>61</v>
      </c>
      <c r="G344" s="3" t="s">
        <v>60</v>
      </c>
      <c r="H344" s="3" t="s">
        <v>61</v>
      </c>
      <c r="I344" s="3" t="s">
        <v>61</v>
      </c>
      <c r="J344" s="3" t="s">
        <v>62</v>
      </c>
      <c r="K344" s="2" t="s">
        <v>1183</v>
      </c>
      <c r="L344" s="2" t="s">
        <v>4109</v>
      </c>
      <c r="M344" s="3" t="s">
        <v>1744</v>
      </c>
      <c r="N344" s="2" t="s">
        <v>4110</v>
      </c>
      <c r="O344" s="3" t="s">
        <v>114</v>
      </c>
      <c r="P344" s="3" t="s">
        <v>235</v>
      </c>
      <c r="Q344" s="2" t="s">
        <v>4111</v>
      </c>
      <c r="R344" s="3" t="s">
        <v>68</v>
      </c>
      <c r="S344" s="4">
        <v>3</v>
      </c>
      <c r="T344" s="4">
        <v>3</v>
      </c>
      <c r="U344" s="5" t="s">
        <v>3941</v>
      </c>
      <c r="V344" s="5" t="s">
        <v>3941</v>
      </c>
      <c r="W344" s="5" t="s">
        <v>2046</v>
      </c>
      <c r="X344" s="5" t="s">
        <v>2046</v>
      </c>
      <c r="Y344" s="4">
        <v>188</v>
      </c>
      <c r="Z344" s="4">
        <v>170</v>
      </c>
      <c r="AA344" s="4">
        <v>812</v>
      </c>
      <c r="AB344" s="4">
        <v>4</v>
      </c>
      <c r="AC344" s="4">
        <v>6</v>
      </c>
      <c r="AD344" s="4">
        <v>11</v>
      </c>
      <c r="AE344" s="4">
        <v>35</v>
      </c>
      <c r="AF344" s="4">
        <v>4</v>
      </c>
      <c r="AG344" s="4">
        <v>14</v>
      </c>
      <c r="AH344" s="4">
        <v>1</v>
      </c>
      <c r="AI344" s="4">
        <v>7</v>
      </c>
      <c r="AJ344" s="4">
        <v>3</v>
      </c>
      <c r="AK344" s="4">
        <v>17</v>
      </c>
      <c r="AL344" s="4">
        <v>3</v>
      </c>
      <c r="AM344" s="4">
        <v>5</v>
      </c>
      <c r="AN344" s="4">
        <v>0</v>
      </c>
      <c r="AO344" s="4">
        <v>0</v>
      </c>
      <c r="AP344" s="3" t="s">
        <v>61</v>
      </c>
      <c r="AQ344" s="3" t="s">
        <v>61</v>
      </c>
      <c r="AS344" s="6" t="str">
        <f>HYPERLINK("https://creighton-primo.hosted.exlibrisgroup.com/primo-explore/search?tab=default_tab&amp;search_scope=EVERYTHING&amp;vid=01CRU&amp;lang=en_US&amp;offset=0&amp;query=any,contains,991003588189702656","Catalog Record")</f>
        <v>Catalog Record</v>
      </c>
      <c r="AT344" s="6" t="str">
        <f>HYPERLINK("http://www.worldcat.org/oclc/320935","WorldCat Record")</f>
        <v>WorldCat Record</v>
      </c>
      <c r="AU344" s="3" t="s">
        <v>4112</v>
      </c>
      <c r="AV344" s="3" t="s">
        <v>4113</v>
      </c>
      <c r="AW344" s="3" t="s">
        <v>4114</v>
      </c>
      <c r="AX344" s="3" t="s">
        <v>4114</v>
      </c>
      <c r="AY344" s="3" t="s">
        <v>4115</v>
      </c>
      <c r="AZ344" s="3" t="s">
        <v>75</v>
      </c>
      <c r="BC344" s="3" t="s">
        <v>4116</v>
      </c>
      <c r="BD344" s="3" t="s">
        <v>4117</v>
      </c>
    </row>
    <row r="345" spans="1:56" ht="44.25" customHeight="1" x14ac:dyDescent="0.25">
      <c r="A345" s="7" t="s">
        <v>61</v>
      </c>
      <c r="B345" s="2" t="s">
        <v>4118</v>
      </c>
      <c r="C345" s="2" t="s">
        <v>4119</v>
      </c>
      <c r="D345" s="2" t="s">
        <v>4120</v>
      </c>
      <c r="E345" s="3" t="s">
        <v>2273</v>
      </c>
      <c r="F345" s="3" t="s">
        <v>59</v>
      </c>
      <c r="G345" s="3" t="s">
        <v>60</v>
      </c>
      <c r="H345" s="3" t="s">
        <v>61</v>
      </c>
      <c r="I345" s="3" t="s">
        <v>61</v>
      </c>
      <c r="J345" s="3" t="s">
        <v>62</v>
      </c>
      <c r="K345" s="2" t="s">
        <v>4121</v>
      </c>
      <c r="L345" s="2" t="s">
        <v>4122</v>
      </c>
      <c r="M345" s="3" t="s">
        <v>2797</v>
      </c>
      <c r="N345" s="2" t="s">
        <v>306</v>
      </c>
      <c r="O345" s="3" t="s">
        <v>114</v>
      </c>
      <c r="P345" s="3" t="s">
        <v>1494</v>
      </c>
      <c r="R345" s="3" t="s">
        <v>68</v>
      </c>
      <c r="S345" s="4">
        <v>2</v>
      </c>
      <c r="T345" s="4">
        <v>3</v>
      </c>
      <c r="U345" s="5" t="s">
        <v>3219</v>
      </c>
      <c r="V345" s="5" t="s">
        <v>3219</v>
      </c>
      <c r="W345" s="5" t="s">
        <v>4083</v>
      </c>
      <c r="X345" s="5" t="s">
        <v>4083</v>
      </c>
      <c r="Y345" s="4">
        <v>425</v>
      </c>
      <c r="Z345" s="4">
        <v>392</v>
      </c>
      <c r="AA345" s="4">
        <v>446</v>
      </c>
      <c r="AB345" s="4">
        <v>9</v>
      </c>
      <c r="AC345" s="4">
        <v>9</v>
      </c>
      <c r="AD345" s="4">
        <v>25</v>
      </c>
      <c r="AE345" s="4">
        <v>27</v>
      </c>
      <c r="AF345" s="4">
        <v>9</v>
      </c>
      <c r="AG345" s="4">
        <v>11</v>
      </c>
      <c r="AH345" s="4">
        <v>3</v>
      </c>
      <c r="AI345" s="4">
        <v>4</v>
      </c>
      <c r="AJ345" s="4">
        <v>10</v>
      </c>
      <c r="AK345" s="4">
        <v>10</v>
      </c>
      <c r="AL345" s="4">
        <v>8</v>
      </c>
      <c r="AM345" s="4">
        <v>8</v>
      </c>
      <c r="AN345" s="4">
        <v>0</v>
      </c>
      <c r="AO345" s="4">
        <v>0</v>
      </c>
      <c r="AP345" s="3" t="s">
        <v>59</v>
      </c>
      <c r="AQ345" s="3" t="s">
        <v>61</v>
      </c>
      <c r="AR345" s="6" t="str">
        <f>HYPERLINK("http://catalog.hathitrust.org/Record/000556058","HathiTrust Record")</f>
        <v>HathiTrust Record</v>
      </c>
      <c r="AS345" s="6" t="str">
        <f>HYPERLINK("https://creighton-primo.hosted.exlibrisgroup.com/primo-explore/search?tab=default_tab&amp;search_scope=EVERYTHING&amp;vid=01CRU&amp;lang=en_US&amp;offset=0&amp;query=any,contains,991001962519702656","Catalog Record")</f>
        <v>Catalog Record</v>
      </c>
      <c r="AT345" s="6" t="str">
        <f>HYPERLINK("http://www.worldcat.org/oclc/253544","WorldCat Record")</f>
        <v>WorldCat Record</v>
      </c>
      <c r="AU345" s="3" t="s">
        <v>4123</v>
      </c>
      <c r="AV345" s="3" t="s">
        <v>4124</v>
      </c>
      <c r="AW345" s="3" t="s">
        <v>4125</v>
      </c>
      <c r="AX345" s="3" t="s">
        <v>4125</v>
      </c>
      <c r="AY345" s="3" t="s">
        <v>4126</v>
      </c>
      <c r="AZ345" s="3" t="s">
        <v>75</v>
      </c>
      <c r="BC345" s="3" t="s">
        <v>4127</v>
      </c>
      <c r="BD345" s="3" t="s">
        <v>4128</v>
      </c>
    </row>
    <row r="346" spans="1:56" ht="44.25" customHeight="1" x14ac:dyDescent="0.25">
      <c r="A346" s="7" t="s">
        <v>61</v>
      </c>
      <c r="B346" s="2" t="s">
        <v>4118</v>
      </c>
      <c r="C346" s="2" t="s">
        <v>4119</v>
      </c>
      <c r="D346" s="2" t="s">
        <v>4120</v>
      </c>
      <c r="E346" s="3" t="s">
        <v>2263</v>
      </c>
      <c r="F346" s="3" t="s">
        <v>59</v>
      </c>
      <c r="G346" s="3" t="s">
        <v>60</v>
      </c>
      <c r="H346" s="3" t="s">
        <v>61</v>
      </c>
      <c r="I346" s="3" t="s">
        <v>61</v>
      </c>
      <c r="J346" s="3" t="s">
        <v>62</v>
      </c>
      <c r="K346" s="2" t="s">
        <v>4121</v>
      </c>
      <c r="L346" s="2" t="s">
        <v>4122</v>
      </c>
      <c r="M346" s="3" t="s">
        <v>2797</v>
      </c>
      <c r="N346" s="2" t="s">
        <v>306</v>
      </c>
      <c r="O346" s="3" t="s">
        <v>114</v>
      </c>
      <c r="P346" s="3" t="s">
        <v>1494</v>
      </c>
      <c r="R346" s="3" t="s">
        <v>68</v>
      </c>
      <c r="S346" s="4">
        <v>1</v>
      </c>
      <c r="T346" s="4">
        <v>3</v>
      </c>
      <c r="V346" s="5" t="s">
        <v>3219</v>
      </c>
      <c r="W346" s="5" t="s">
        <v>4083</v>
      </c>
      <c r="X346" s="5" t="s">
        <v>4083</v>
      </c>
      <c r="Y346" s="4">
        <v>425</v>
      </c>
      <c r="Z346" s="4">
        <v>392</v>
      </c>
      <c r="AA346" s="4">
        <v>446</v>
      </c>
      <c r="AB346" s="4">
        <v>9</v>
      </c>
      <c r="AC346" s="4">
        <v>9</v>
      </c>
      <c r="AD346" s="4">
        <v>25</v>
      </c>
      <c r="AE346" s="4">
        <v>27</v>
      </c>
      <c r="AF346" s="4">
        <v>9</v>
      </c>
      <c r="AG346" s="4">
        <v>11</v>
      </c>
      <c r="AH346" s="4">
        <v>3</v>
      </c>
      <c r="AI346" s="4">
        <v>4</v>
      </c>
      <c r="AJ346" s="4">
        <v>10</v>
      </c>
      <c r="AK346" s="4">
        <v>10</v>
      </c>
      <c r="AL346" s="4">
        <v>8</v>
      </c>
      <c r="AM346" s="4">
        <v>8</v>
      </c>
      <c r="AN346" s="4">
        <v>0</v>
      </c>
      <c r="AO346" s="4">
        <v>0</v>
      </c>
      <c r="AP346" s="3" t="s">
        <v>59</v>
      </c>
      <c r="AQ346" s="3" t="s">
        <v>61</v>
      </c>
      <c r="AR346" s="6" t="str">
        <f>HYPERLINK("http://catalog.hathitrust.org/Record/000556058","HathiTrust Record")</f>
        <v>HathiTrust Record</v>
      </c>
      <c r="AS346" s="6" t="str">
        <f>HYPERLINK("https://creighton-primo.hosted.exlibrisgroup.com/primo-explore/search?tab=default_tab&amp;search_scope=EVERYTHING&amp;vid=01CRU&amp;lang=en_US&amp;offset=0&amp;query=any,contains,991001962519702656","Catalog Record")</f>
        <v>Catalog Record</v>
      </c>
      <c r="AT346" s="6" t="str">
        <f>HYPERLINK("http://www.worldcat.org/oclc/253544","WorldCat Record")</f>
        <v>WorldCat Record</v>
      </c>
      <c r="AU346" s="3" t="s">
        <v>4123</v>
      </c>
      <c r="AV346" s="3" t="s">
        <v>4124</v>
      </c>
      <c r="AW346" s="3" t="s">
        <v>4125</v>
      </c>
      <c r="AX346" s="3" t="s">
        <v>4125</v>
      </c>
      <c r="AY346" s="3" t="s">
        <v>4126</v>
      </c>
      <c r="AZ346" s="3" t="s">
        <v>75</v>
      </c>
      <c r="BC346" s="3" t="s">
        <v>4129</v>
      </c>
      <c r="BD346" s="3" t="s">
        <v>4130</v>
      </c>
    </row>
    <row r="347" spans="1:56" ht="44.25" customHeight="1" x14ac:dyDescent="0.25">
      <c r="A347" s="7" t="s">
        <v>61</v>
      </c>
      <c r="B347" s="2" t="s">
        <v>4131</v>
      </c>
      <c r="C347" s="2" t="s">
        <v>4132</v>
      </c>
      <c r="D347" s="2" t="s">
        <v>4133</v>
      </c>
      <c r="F347" s="3" t="s">
        <v>61</v>
      </c>
      <c r="G347" s="3" t="s">
        <v>60</v>
      </c>
      <c r="H347" s="3" t="s">
        <v>61</v>
      </c>
      <c r="I347" s="3" t="s">
        <v>61</v>
      </c>
      <c r="J347" s="3" t="s">
        <v>62</v>
      </c>
      <c r="K347" s="2" t="s">
        <v>4134</v>
      </c>
      <c r="L347" s="2" t="s">
        <v>4135</v>
      </c>
      <c r="M347" s="3" t="s">
        <v>379</v>
      </c>
      <c r="O347" s="3" t="s">
        <v>114</v>
      </c>
      <c r="P347" s="3" t="s">
        <v>192</v>
      </c>
      <c r="R347" s="3" t="s">
        <v>68</v>
      </c>
      <c r="S347" s="4">
        <v>3</v>
      </c>
      <c r="T347" s="4">
        <v>3</v>
      </c>
      <c r="U347" s="5" t="s">
        <v>4136</v>
      </c>
      <c r="V347" s="5" t="s">
        <v>4136</v>
      </c>
      <c r="W347" s="5" t="s">
        <v>4137</v>
      </c>
      <c r="X347" s="5" t="s">
        <v>4137</v>
      </c>
      <c r="Y347" s="4">
        <v>550</v>
      </c>
      <c r="Z347" s="4">
        <v>459</v>
      </c>
      <c r="AA347" s="4">
        <v>536</v>
      </c>
      <c r="AB347" s="4">
        <v>4</v>
      </c>
      <c r="AC347" s="4">
        <v>5</v>
      </c>
      <c r="AD347" s="4">
        <v>20</v>
      </c>
      <c r="AE347" s="4">
        <v>22</v>
      </c>
      <c r="AF347" s="4">
        <v>11</v>
      </c>
      <c r="AG347" s="4">
        <v>12</v>
      </c>
      <c r="AH347" s="4">
        <v>6</v>
      </c>
      <c r="AI347" s="4">
        <v>6</v>
      </c>
      <c r="AJ347" s="4">
        <v>8</v>
      </c>
      <c r="AK347" s="4">
        <v>8</v>
      </c>
      <c r="AL347" s="4">
        <v>1</v>
      </c>
      <c r="AM347" s="4">
        <v>2</v>
      </c>
      <c r="AN347" s="4">
        <v>0</v>
      </c>
      <c r="AO347" s="4">
        <v>0</v>
      </c>
      <c r="AP347" s="3" t="s">
        <v>61</v>
      </c>
      <c r="AQ347" s="3" t="s">
        <v>61</v>
      </c>
      <c r="AS347" s="6" t="str">
        <f>HYPERLINK("https://creighton-primo.hosted.exlibrisgroup.com/primo-explore/search?tab=default_tab&amp;search_scope=EVERYTHING&amp;vid=01CRU&amp;lang=en_US&amp;offset=0&amp;query=any,contains,991003692189702656","Catalog Record")</f>
        <v>Catalog Record</v>
      </c>
      <c r="AT347" s="6" t="str">
        <f>HYPERLINK("http://www.worldcat.org/oclc/43501353","WorldCat Record")</f>
        <v>WorldCat Record</v>
      </c>
      <c r="AU347" s="3" t="s">
        <v>4138</v>
      </c>
      <c r="AV347" s="3" t="s">
        <v>4139</v>
      </c>
      <c r="AW347" s="3" t="s">
        <v>4140</v>
      </c>
      <c r="AX347" s="3" t="s">
        <v>4140</v>
      </c>
      <c r="AY347" s="3" t="s">
        <v>4141</v>
      </c>
      <c r="AZ347" s="3" t="s">
        <v>75</v>
      </c>
      <c r="BB347" s="3" t="s">
        <v>4142</v>
      </c>
      <c r="BC347" s="3" t="s">
        <v>4143</v>
      </c>
      <c r="BD347" s="3" t="s">
        <v>4144</v>
      </c>
    </row>
    <row r="348" spans="1:56" ht="44.25" customHeight="1" x14ac:dyDescent="0.25">
      <c r="A348" s="7" t="s">
        <v>61</v>
      </c>
      <c r="B348" s="2" t="s">
        <v>4145</v>
      </c>
      <c r="C348" s="2" t="s">
        <v>4146</v>
      </c>
      <c r="D348" s="2" t="s">
        <v>4147</v>
      </c>
      <c r="F348" s="3" t="s">
        <v>61</v>
      </c>
      <c r="G348" s="3" t="s">
        <v>60</v>
      </c>
      <c r="H348" s="3" t="s">
        <v>61</v>
      </c>
      <c r="I348" s="3" t="s">
        <v>61</v>
      </c>
      <c r="J348" s="3" t="s">
        <v>62</v>
      </c>
      <c r="K348" s="2" t="s">
        <v>4148</v>
      </c>
      <c r="L348" s="2" t="s">
        <v>4149</v>
      </c>
      <c r="M348" s="3" t="s">
        <v>495</v>
      </c>
      <c r="O348" s="3" t="s">
        <v>114</v>
      </c>
      <c r="P348" s="3" t="s">
        <v>235</v>
      </c>
      <c r="Q348" s="2" t="s">
        <v>4150</v>
      </c>
      <c r="R348" s="3" t="s">
        <v>68</v>
      </c>
      <c r="S348" s="4">
        <v>5</v>
      </c>
      <c r="T348" s="4">
        <v>5</v>
      </c>
      <c r="U348" s="5" t="s">
        <v>4151</v>
      </c>
      <c r="V348" s="5" t="s">
        <v>4151</v>
      </c>
      <c r="W348" s="5" t="s">
        <v>4152</v>
      </c>
      <c r="X348" s="5" t="s">
        <v>4152</v>
      </c>
      <c r="Y348" s="4">
        <v>219</v>
      </c>
      <c r="Z348" s="4">
        <v>176</v>
      </c>
      <c r="AA348" s="4">
        <v>212</v>
      </c>
      <c r="AB348" s="4">
        <v>2</v>
      </c>
      <c r="AC348" s="4">
        <v>2</v>
      </c>
      <c r="AD348" s="4">
        <v>8</v>
      </c>
      <c r="AE348" s="4">
        <v>11</v>
      </c>
      <c r="AF348" s="4">
        <v>3</v>
      </c>
      <c r="AG348" s="4">
        <v>3</v>
      </c>
      <c r="AH348" s="4">
        <v>2</v>
      </c>
      <c r="AI348" s="4">
        <v>4</v>
      </c>
      <c r="AJ348" s="4">
        <v>5</v>
      </c>
      <c r="AK348" s="4">
        <v>8</v>
      </c>
      <c r="AL348" s="4">
        <v>1</v>
      </c>
      <c r="AM348" s="4">
        <v>1</v>
      </c>
      <c r="AN348" s="4">
        <v>0</v>
      </c>
      <c r="AO348" s="4">
        <v>0</v>
      </c>
      <c r="AP348" s="3" t="s">
        <v>61</v>
      </c>
      <c r="AQ348" s="3" t="s">
        <v>61</v>
      </c>
      <c r="AS348" s="6" t="str">
        <f>HYPERLINK("https://creighton-primo.hosted.exlibrisgroup.com/primo-explore/search?tab=default_tab&amp;search_scope=EVERYTHING&amp;vid=01CRU&amp;lang=en_US&amp;offset=0&amp;query=any,contains,991002614529702656","Catalog Record")</f>
        <v>Catalog Record</v>
      </c>
      <c r="AT348" s="6" t="str">
        <f>HYPERLINK("http://www.worldcat.org/oclc/34281880","WorldCat Record")</f>
        <v>WorldCat Record</v>
      </c>
      <c r="AU348" s="3" t="s">
        <v>4153</v>
      </c>
      <c r="AV348" s="3" t="s">
        <v>4154</v>
      </c>
      <c r="AW348" s="3" t="s">
        <v>4155</v>
      </c>
      <c r="AX348" s="3" t="s">
        <v>4155</v>
      </c>
      <c r="AY348" s="3" t="s">
        <v>4156</v>
      </c>
      <c r="AZ348" s="3" t="s">
        <v>75</v>
      </c>
      <c r="BB348" s="3" t="s">
        <v>4157</v>
      </c>
      <c r="BC348" s="3" t="s">
        <v>4158</v>
      </c>
      <c r="BD348" s="3" t="s">
        <v>4159</v>
      </c>
    </row>
    <row r="349" spans="1:56" ht="44.25" customHeight="1" x14ac:dyDescent="0.25">
      <c r="A349" s="7" t="s">
        <v>61</v>
      </c>
      <c r="B349" s="2" t="s">
        <v>4160</v>
      </c>
      <c r="C349" s="2" t="s">
        <v>4161</v>
      </c>
      <c r="D349" s="2" t="s">
        <v>4162</v>
      </c>
      <c r="F349" s="3" t="s">
        <v>61</v>
      </c>
      <c r="G349" s="3" t="s">
        <v>60</v>
      </c>
      <c r="H349" s="3" t="s">
        <v>61</v>
      </c>
      <c r="I349" s="3" t="s">
        <v>61</v>
      </c>
      <c r="J349" s="3" t="s">
        <v>62</v>
      </c>
      <c r="K349" s="2" t="s">
        <v>4163</v>
      </c>
      <c r="L349" s="2" t="s">
        <v>4164</v>
      </c>
      <c r="M349" s="3" t="s">
        <v>796</v>
      </c>
      <c r="O349" s="3" t="s">
        <v>114</v>
      </c>
      <c r="P349" s="3" t="s">
        <v>192</v>
      </c>
      <c r="R349" s="3" t="s">
        <v>68</v>
      </c>
      <c r="S349" s="4">
        <v>4</v>
      </c>
      <c r="T349" s="4">
        <v>4</v>
      </c>
      <c r="U349" s="5" t="s">
        <v>4165</v>
      </c>
      <c r="V349" s="5" t="s">
        <v>4165</v>
      </c>
      <c r="W349" s="5" t="s">
        <v>2699</v>
      </c>
      <c r="X349" s="5" t="s">
        <v>2699</v>
      </c>
      <c r="Y349" s="4">
        <v>673</v>
      </c>
      <c r="Z349" s="4">
        <v>507</v>
      </c>
      <c r="AA349" s="4">
        <v>520</v>
      </c>
      <c r="AB349" s="4">
        <v>3</v>
      </c>
      <c r="AC349" s="4">
        <v>3</v>
      </c>
      <c r="AD349" s="4">
        <v>24</v>
      </c>
      <c r="AE349" s="4">
        <v>24</v>
      </c>
      <c r="AF349" s="4">
        <v>9</v>
      </c>
      <c r="AG349" s="4">
        <v>9</v>
      </c>
      <c r="AH349" s="4">
        <v>6</v>
      </c>
      <c r="AI349" s="4">
        <v>6</v>
      </c>
      <c r="AJ349" s="4">
        <v>13</v>
      </c>
      <c r="AK349" s="4">
        <v>13</v>
      </c>
      <c r="AL349" s="4">
        <v>2</v>
      </c>
      <c r="AM349" s="4">
        <v>2</v>
      </c>
      <c r="AN349" s="4">
        <v>1</v>
      </c>
      <c r="AO349" s="4">
        <v>1</v>
      </c>
      <c r="AP349" s="3" t="s">
        <v>61</v>
      </c>
      <c r="AQ349" s="3" t="s">
        <v>61</v>
      </c>
      <c r="AS349" s="6" t="str">
        <f>HYPERLINK("https://creighton-primo.hosted.exlibrisgroup.com/primo-explore/search?tab=default_tab&amp;search_scope=EVERYTHING&amp;vid=01CRU&amp;lang=en_US&amp;offset=0&amp;query=any,contains,991001186069702656","Catalog Record")</f>
        <v>Catalog Record</v>
      </c>
      <c r="AT349" s="6" t="str">
        <f>HYPERLINK("http://www.worldcat.org/oclc/17202885","WorldCat Record")</f>
        <v>WorldCat Record</v>
      </c>
      <c r="AU349" s="3" t="s">
        <v>4166</v>
      </c>
      <c r="AV349" s="3" t="s">
        <v>4167</v>
      </c>
      <c r="AW349" s="3" t="s">
        <v>4168</v>
      </c>
      <c r="AX349" s="3" t="s">
        <v>4168</v>
      </c>
      <c r="AY349" s="3" t="s">
        <v>4169</v>
      </c>
      <c r="AZ349" s="3" t="s">
        <v>75</v>
      </c>
      <c r="BB349" s="3" t="s">
        <v>4170</v>
      </c>
      <c r="BC349" s="3" t="s">
        <v>4171</v>
      </c>
      <c r="BD349" s="3" t="s">
        <v>4172</v>
      </c>
    </row>
    <row r="350" spans="1:56" ht="44.25" customHeight="1" x14ac:dyDescent="0.25">
      <c r="A350" s="7" t="s">
        <v>61</v>
      </c>
      <c r="B350" s="2" t="s">
        <v>4173</v>
      </c>
      <c r="C350" s="2" t="s">
        <v>4174</v>
      </c>
      <c r="D350" s="2" t="s">
        <v>4175</v>
      </c>
      <c r="F350" s="3" t="s">
        <v>61</v>
      </c>
      <c r="G350" s="3" t="s">
        <v>60</v>
      </c>
      <c r="H350" s="3" t="s">
        <v>61</v>
      </c>
      <c r="I350" s="3" t="s">
        <v>61</v>
      </c>
      <c r="J350" s="3" t="s">
        <v>62</v>
      </c>
      <c r="K350" s="2" t="s">
        <v>4176</v>
      </c>
      <c r="L350" s="2" t="s">
        <v>4177</v>
      </c>
      <c r="M350" s="3" t="s">
        <v>3279</v>
      </c>
      <c r="N350" s="2" t="s">
        <v>306</v>
      </c>
      <c r="O350" s="3" t="s">
        <v>114</v>
      </c>
      <c r="P350" s="3" t="s">
        <v>235</v>
      </c>
      <c r="Q350" s="2" t="s">
        <v>4178</v>
      </c>
      <c r="R350" s="3" t="s">
        <v>68</v>
      </c>
      <c r="S350" s="4">
        <v>3</v>
      </c>
      <c r="T350" s="4">
        <v>3</v>
      </c>
      <c r="U350" s="5" t="s">
        <v>4179</v>
      </c>
      <c r="V350" s="5" t="s">
        <v>4179</v>
      </c>
      <c r="W350" s="5" t="s">
        <v>4083</v>
      </c>
      <c r="X350" s="5" t="s">
        <v>4083</v>
      </c>
      <c r="Y350" s="4">
        <v>236</v>
      </c>
      <c r="Z350" s="4">
        <v>202</v>
      </c>
      <c r="AA350" s="4">
        <v>203</v>
      </c>
      <c r="AB350" s="4">
        <v>2</v>
      </c>
      <c r="AC350" s="4">
        <v>2</v>
      </c>
      <c r="AD350" s="4">
        <v>12</v>
      </c>
      <c r="AE350" s="4">
        <v>12</v>
      </c>
      <c r="AF350" s="4">
        <v>4</v>
      </c>
      <c r="AG350" s="4">
        <v>4</v>
      </c>
      <c r="AH350" s="4">
        <v>5</v>
      </c>
      <c r="AI350" s="4">
        <v>5</v>
      </c>
      <c r="AJ350" s="4">
        <v>4</v>
      </c>
      <c r="AK350" s="4">
        <v>4</v>
      </c>
      <c r="AL350" s="4">
        <v>1</v>
      </c>
      <c r="AM350" s="4">
        <v>1</v>
      </c>
      <c r="AN350" s="4">
        <v>1</v>
      </c>
      <c r="AO350" s="4">
        <v>1</v>
      </c>
      <c r="AP350" s="3" t="s">
        <v>61</v>
      </c>
      <c r="AQ350" s="3" t="s">
        <v>59</v>
      </c>
      <c r="AR350" s="6" t="str">
        <f>HYPERLINK("http://catalog.hathitrust.org/Record/000006633","HathiTrust Record")</f>
        <v>HathiTrust Record</v>
      </c>
      <c r="AS350" s="6" t="str">
        <f>HYPERLINK("https://creighton-primo.hosted.exlibrisgroup.com/primo-explore/search?tab=default_tab&amp;search_scope=EVERYTHING&amp;vid=01CRU&amp;lang=en_US&amp;offset=0&amp;query=any,contains,991002866359702656","Catalog Record")</f>
        <v>Catalog Record</v>
      </c>
      <c r="AT350" s="6" t="str">
        <f>HYPERLINK("http://www.worldcat.org/oclc/496812","WorldCat Record")</f>
        <v>WorldCat Record</v>
      </c>
      <c r="AU350" s="3" t="s">
        <v>4180</v>
      </c>
      <c r="AV350" s="3" t="s">
        <v>4181</v>
      </c>
      <c r="AW350" s="3" t="s">
        <v>4182</v>
      </c>
      <c r="AX350" s="3" t="s">
        <v>4182</v>
      </c>
      <c r="AY350" s="3" t="s">
        <v>4183</v>
      </c>
      <c r="AZ350" s="3" t="s">
        <v>75</v>
      </c>
      <c r="BB350" s="3" t="s">
        <v>4184</v>
      </c>
      <c r="BC350" s="3" t="s">
        <v>4185</v>
      </c>
      <c r="BD350" s="3" t="s">
        <v>4186</v>
      </c>
    </row>
    <row r="351" spans="1:56" ht="44.25" customHeight="1" x14ac:dyDescent="0.25">
      <c r="A351" s="7" t="s">
        <v>61</v>
      </c>
      <c r="B351" s="2" t="s">
        <v>4187</v>
      </c>
      <c r="C351" s="2" t="s">
        <v>4188</v>
      </c>
      <c r="D351" s="2" t="s">
        <v>4189</v>
      </c>
      <c r="F351" s="3" t="s">
        <v>61</v>
      </c>
      <c r="G351" s="3" t="s">
        <v>60</v>
      </c>
      <c r="H351" s="3" t="s">
        <v>61</v>
      </c>
      <c r="I351" s="3" t="s">
        <v>61</v>
      </c>
      <c r="J351" s="3" t="s">
        <v>62</v>
      </c>
      <c r="K351" s="2" t="s">
        <v>4190</v>
      </c>
      <c r="L351" s="2" t="s">
        <v>4191</v>
      </c>
      <c r="M351" s="3" t="s">
        <v>350</v>
      </c>
      <c r="O351" s="3" t="s">
        <v>114</v>
      </c>
      <c r="P351" s="3" t="s">
        <v>192</v>
      </c>
      <c r="R351" s="3" t="s">
        <v>68</v>
      </c>
      <c r="S351" s="4">
        <v>2</v>
      </c>
      <c r="T351" s="4">
        <v>2</v>
      </c>
      <c r="U351" s="5" t="s">
        <v>4192</v>
      </c>
      <c r="V351" s="5" t="s">
        <v>4192</v>
      </c>
      <c r="W351" s="5" t="s">
        <v>4193</v>
      </c>
      <c r="X351" s="5" t="s">
        <v>4193</v>
      </c>
      <c r="Y351" s="4">
        <v>447</v>
      </c>
      <c r="Z351" s="4">
        <v>317</v>
      </c>
      <c r="AA351" s="4">
        <v>324</v>
      </c>
      <c r="AB351" s="4">
        <v>3</v>
      </c>
      <c r="AC351" s="4">
        <v>3</v>
      </c>
      <c r="AD351" s="4">
        <v>17</v>
      </c>
      <c r="AE351" s="4">
        <v>17</v>
      </c>
      <c r="AF351" s="4">
        <v>5</v>
      </c>
      <c r="AG351" s="4">
        <v>5</v>
      </c>
      <c r="AH351" s="4">
        <v>6</v>
      </c>
      <c r="AI351" s="4">
        <v>6</v>
      </c>
      <c r="AJ351" s="4">
        <v>12</v>
      </c>
      <c r="AK351" s="4">
        <v>12</v>
      </c>
      <c r="AL351" s="4">
        <v>2</v>
      </c>
      <c r="AM351" s="4">
        <v>2</v>
      </c>
      <c r="AN351" s="4">
        <v>0</v>
      </c>
      <c r="AO351" s="4">
        <v>0</v>
      </c>
      <c r="AP351" s="3" t="s">
        <v>61</v>
      </c>
      <c r="AQ351" s="3" t="s">
        <v>59</v>
      </c>
      <c r="AR351" s="6" t="str">
        <f>HYPERLINK("http://catalog.hathitrust.org/Record/000301631","HathiTrust Record")</f>
        <v>HathiTrust Record</v>
      </c>
      <c r="AS351" s="6" t="str">
        <f>HYPERLINK("https://creighton-primo.hosted.exlibrisgroup.com/primo-explore/search?tab=default_tab&amp;search_scope=EVERYTHING&amp;vid=01CRU&amp;lang=en_US&amp;offset=0&amp;query=any,contains,991004856519702656","Catalog Record")</f>
        <v>Catalog Record</v>
      </c>
      <c r="AT351" s="6" t="str">
        <f>HYPERLINK("http://www.worldcat.org/oclc/5675393","WorldCat Record")</f>
        <v>WorldCat Record</v>
      </c>
      <c r="AU351" s="3" t="s">
        <v>4194</v>
      </c>
      <c r="AV351" s="3" t="s">
        <v>4195</v>
      </c>
      <c r="AW351" s="3" t="s">
        <v>4196</v>
      </c>
      <c r="AX351" s="3" t="s">
        <v>4196</v>
      </c>
      <c r="AY351" s="3" t="s">
        <v>4197</v>
      </c>
      <c r="AZ351" s="3" t="s">
        <v>75</v>
      </c>
      <c r="BB351" s="3" t="s">
        <v>4198</v>
      </c>
      <c r="BC351" s="3" t="s">
        <v>4199</v>
      </c>
      <c r="BD351" s="3" t="s">
        <v>4200</v>
      </c>
    </row>
    <row r="352" spans="1:56" ht="44.25" customHeight="1" x14ac:dyDescent="0.25">
      <c r="A352" s="7" t="s">
        <v>61</v>
      </c>
      <c r="B352" s="2" t="s">
        <v>4201</v>
      </c>
      <c r="C352" s="2" t="s">
        <v>4202</v>
      </c>
      <c r="D352" s="2" t="s">
        <v>4203</v>
      </c>
      <c r="F352" s="3" t="s">
        <v>61</v>
      </c>
      <c r="G352" s="3" t="s">
        <v>60</v>
      </c>
      <c r="H352" s="3" t="s">
        <v>61</v>
      </c>
      <c r="I352" s="3" t="s">
        <v>61</v>
      </c>
      <c r="J352" s="3" t="s">
        <v>62</v>
      </c>
      <c r="K352" s="2" t="s">
        <v>4204</v>
      </c>
      <c r="L352" s="2" t="s">
        <v>4205</v>
      </c>
      <c r="M352" s="3" t="s">
        <v>2281</v>
      </c>
      <c r="O352" s="3" t="s">
        <v>114</v>
      </c>
      <c r="P352" s="3" t="s">
        <v>335</v>
      </c>
      <c r="Q352" s="2" t="s">
        <v>4206</v>
      </c>
      <c r="R352" s="3" t="s">
        <v>68</v>
      </c>
      <c r="S352" s="4">
        <v>2</v>
      </c>
      <c r="T352" s="4">
        <v>2</v>
      </c>
      <c r="U352" s="5" t="s">
        <v>4207</v>
      </c>
      <c r="V352" s="5" t="s">
        <v>4207</v>
      </c>
      <c r="W352" s="5" t="s">
        <v>4208</v>
      </c>
      <c r="X352" s="5" t="s">
        <v>4208</v>
      </c>
      <c r="Y352" s="4">
        <v>315</v>
      </c>
      <c r="Z352" s="4">
        <v>229</v>
      </c>
      <c r="AA352" s="4">
        <v>236</v>
      </c>
      <c r="AB352" s="4">
        <v>3</v>
      </c>
      <c r="AC352" s="4">
        <v>3</v>
      </c>
      <c r="AD352" s="4">
        <v>9</v>
      </c>
      <c r="AE352" s="4">
        <v>9</v>
      </c>
      <c r="AF352" s="4">
        <v>1</v>
      </c>
      <c r="AG352" s="4">
        <v>1</v>
      </c>
      <c r="AH352" s="4">
        <v>2</v>
      </c>
      <c r="AI352" s="4">
        <v>2</v>
      </c>
      <c r="AJ352" s="4">
        <v>5</v>
      </c>
      <c r="AK352" s="4">
        <v>5</v>
      </c>
      <c r="AL352" s="4">
        <v>2</v>
      </c>
      <c r="AM352" s="4">
        <v>2</v>
      </c>
      <c r="AN352" s="4">
        <v>0</v>
      </c>
      <c r="AO352" s="4">
        <v>0</v>
      </c>
      <c r="AP352" s="3" t="s">
        <v>61</v>
      </c>
      <c r="AQ352" s="3" t="s">
        <v>59</v>
      </c>
      <c r="AR352" s="6" t="str">
        <f>HYPERLINK("http://catalog.hathitrust.org/Record/000750463","HathiTrust Record")</f>
        <v>HathiTrust Record</v>
      </c>
      <c r="AS352" s="6" t="str">
        <f>HYPERLINK("https://creighton-primo.hosted.exlibrisgroup.com/primo-explore/search?tab=default_tab&amp;search_scope=EVERYTHING&amp;vid=01CRU&amp;lang=en_US&amp;offset=0&amp;query=any,contains,991004417699702656","Catalog Record")</f>
        <v>Catalog Record</v>
      </c>
      <c r="AT352" s="6" t="str">
        <f>HYPERLINK("http://www.worldcat.org/oclc/3370026","WorldCat Record")</f>
        <v>WorldCat Record</v>
      </c>
      <c r="AU352" s="3" t="s">
        <v>4209</v>
      </c>
      <c r="AV352" s="3" t="s">
        <v>4210</v>
      </c>
      <c r="AW352" s="3" t="s">
        <v>4211</v>
      </c>
      <c r="AX352" s="3" t="s">
        <v>4211</v>
      </c>
      <c r="AY352" s="3" t="s">
        <v>4212</v>
      </c>
      <c r="AZ352" s="3" t="s">
        <v>75</v>
      </c>
      <c r="BB352" s="3" t="s">
        <v>4213</v>
      </c>
      <c r="BC352" s="3" t="s">
        <v>4214</v>
      </c>
      <c r="BD352" s="3" t="s">
        <v>4215</v>
      </c>
    </row>
    <row r="353" spans="1:56" ht="44.25" customHeight="1" x14ac:dyDescent="0.25">
      <c r="A353" s="7" t="s">
        <v>61</v>
      </c>
      <c r="B353" s="2" t="s">
        <v>4216</v>
      </c>
      <c r="C353" s="2" t="s">
        <v>4217</v>
      </c>
      <c r="D353" s="2" t="s">
        <v>4218</v>
      </c>
      <c r="F353" s="3" t="s">
        <v>61</v>
      </c>
      <c r="G353" s="3" t="s">
        <v>60</v>
      </c>
      <c r="H353" s="3" t="s">
        <v>61</v>
      </c>
      <c r="I353" s="3" t="s">
        <v>61</v>
      </c>
      <c r="J353" s="3" t="s">
        <v>62</v>
      </c>
      <c r="K353" s="2" t="s">
        <v>4219</v>
      </c>
      <c r="L353" s="2" t="s">
        <v>4220</v>
      </c>
      <c r="M353" s="3" t="s">
        <v>1332</v>
      </c>
      <c r="O353" s="3" t="s">
        <v>114</v>
      </c>
      <c r="P353" s="3" t="s">
        <v>235</v>
      </c>
      <c r="Q353" s="2" t="s">
        <v>4221</v>
      </c>
      <c r="R353" s="3" t="s">
        <v>68</v>
      </c>
      <c r="S353" s="4">
        <v>1</v>
      </c>
      <c r="T353" s="4">
        <v>1</v>
      </c>
      <c r="U353" s="5" t="s">
        <v>4222</v>
      </c>
      <c r="V353" s="5" t="s">
        <v>4222</v>
      </c>
      <c r="W353" s="5" t="s">
        <v>4083</v>
      </c>
      <c r="X353" s="5" t="s">
        <v>4083</v>
      </c>
      <c r="Y353" s="4">
        <v>773</v>
      </c>
      <c r="Z353" s="4">
        <v>651</v>
      </c>
      <c r="AA353" s="4">
        <v>695</v>
      </c>
      <c r="AB353" s="4">
        <v>4</v>
      </c>
      <c r="AC353" s="4">
        <v>4</v>
      </c>
      <c r="AD353" s="4">
        <v>33</v>
      </c>
      <c r="AE353" s="4">
        <v>35</v>
      </c>
      <c r="AF353" s="4">
        <v>11</v>
      </c>
      <c r="AG353" s="4">
        <v>12</v>
      </c>
      <c r="AH353" s="4">
        <v>7</v>
      </c>
      <c r="AI353" s="4">
        <v>9</v>
      </c>
      <c r="AJ353" s="4">
        <v>21</v>
      </c>
      <c r="AK353" s="4">
        <v>21</v>
      </c>
      <c r="AL353" s="4">
        <v>3</v>
      </c>
      <c r="AM353" s="4">
        <v>3</v>
      </c>
      <c r="AN353" s="4">
        <v>1</v>
      </c>
      <c r="AO353" s="4">
        <v>1</v>
      </c>
      <c r="AP353" s="3" t="s">
        <v>61</v>
      </c>
      <c r="AQ353" s="3" t="s">
        <v>59</v>
      </c>
      <c r="AR353" s="6" t="str">
        <f>HYPERLINK("http://catalog.hathitrust.org/Record/000398674","HathiTrust Record")</f>
        <v>HathiTrust Record</v>
      </c>
      <c r="AS353" s="6" t="str">
        <f>HYPERLINK("https://creighton-primo.hosted.exlibrisgroup.com/primo-explore/search?tab=default_tab&amp;search_scope=EVERYTHING&amp;vid=01CRU&amp;lang=en_US&amp;offset=0&amp;query=any,contains,991002680849702656","Catalog Record")</f>
        <v>Catalog Record</v>
      </c>
      <c r="AT353" s="6" t="str">
        <f>HYPERLINK("http://www.worldcat.org/oclc/398350","WorldCat Record")</f>
        <v>WorldCat Record</v>
      </c>
      <c r="AU353" s="3" t="s">
        <v>4223</v>
      </c>
      <c r="AV353" s="3" t="s">
        <v>4224</v>
      </c>
      <c r="AW353" s="3" t="s">
        <v>4225</v>
      </c>
      <c r="AX353" s="3" t="s">
        <v>4225</v>
      </c>
      <c r="AY353" s="3" t="s">
        <v>4226</v>
      </c>
      <c r="AZ353" s="3" t="s">
        <v>75</v>
      </c>
      <c r="BC353" s="3" t="s">
        <v>4227</v>
      </c>
      <c r="BD353" s="3" t="s">
        <v>4228</v>
      </c>
    </row>
    <row r="354" spans="1:56" ht="44.25" customHeight="1" x14ac:dyDescent="0.25">
      <c r="A354" s="7" t="s">
        <v>61</v>
      </c>
      <c r="B354" s="2" t="s">
        <v>4229</v>
      </c>
      <c r="C354" s="2" t="s">
        <v>4230</v>
      </c>
      <c r="D354" s="2" t="s">
        <v>4231</v>
      </c>
      <c r="F354" s="3" t="s">
        <v>61</v>
      </c>
      <c r="G354" s="3" t="s">
        <v>60</v>
      </c>
      <c r="H354" s="3" t="s">
        <v>61</v>
      </c>
      <c r="I354" s="3" t="s">
        <v>61</v>
      </c>
      <c r="J354" s="3" t="s">
        <v>62</v>
      </c>
      <c r="K354" s="2" t="s">
        <v>4232</v>
      </c>
      <c r="L354" s="2" t="s">
        <v>2227</v>
      </c>
      <c r="M354" s="3" t="s">
        <v>707</v>
      </c>
      <c r="N354" s="2" t="s">
        <v>4233</v>
      </c>
      <c r="O354" s="3" t="s">
        <v>114</v>
      </c>
      <c r="P354" s="3" t="s">
        <v>235</v>
      </c>
      <c r="Q354" s="2" t="s">
        <v>4234</v>
      </c>
      <c r="R354" s="3" t="s">
        <v>68</v>
      </c>
      <c r="S354" s="4">
        <v>3</v>
      </c>
      <c r="T354" s="4">
        <v>3</v>
      </c>
      <c r="U354" s="5" t="s">
        <v>4235</v>
      </c>
      <c r="V354" s="5" t="s">
        <v>4235</v>
      </c>
      <c r="W354" s="5" t="s">
        <v>4083</v>
      </c>
      <c r="X354" s="5" t="s">
        <v>4083</v>
      </c>
      <c r="Y354" s="4">
        <v>948</v>
      </c>
      <c r="Z354" s="4">
        <v>892</v>
      </c>
      <c r="AA354" s="4">
        <v>1054</v>
      </c>
      <c r="AB354" s="4">
        <v>6</v>
      </c>
      <c r="AC354" s="4">
        <v>8</v>
      </c>
      <c r="AD354" s="4">
        <v>36</v>
      </c>
      <c r="AE354" s="4">
        <v>41</v>
      </c>
      <c r="AF354" s="4">
        <v>17</v>
      </c>
      <c r="AG354" s="4">
        <v>19</v>
      </c>
      <c r="AH354" s="4">
        <v>7</v>
      </c>
      <c r="AI354" s="4">
        <v>8</v>
      </c>
      <c r="AJ354" s="4">
        <v>19</v>
      </c>
      <c r="AK354" s="4">
        <v>19</v>
      </c>
      <c r="AL354" s="4">
        <v>5</v>
      </c>
      <c r="AM354" s="4">
        <v>7</v>
      </c>
      <c r="AN354" s="4">
        <v>0</v>
      </c>
      <c r="AO354" s="4">
        <v>0</v>
      </c>
      <c r="AP354" s="3" t="s">
        <v>61</v>
      </c>
      <c r="AQ354" s="3" t="s">
        <v>59</v>
      </c>
      <c r="AR354" s="6" t="str">
        <f>HYPERLINK("http://catalog.hathitrust.org/Record/000396579","HathiTrust Record")</f>
        <v>HathiTrust Record</v>
      </c>
      <c r="AS354" s="6" t="str">
        <f>HYPERLINK("https://creighton-primo.hosted.exlibrisgroup.com/primo-explore/search?tab=default_tab&amp;search_scope=EVERYTHING&amp;vid=01CRU&amp;lang=en_US&amp;offset=0&amp;query=any,contains,991002699319702656","Catalog Record")</f>
        <v>Catalog Record</v>
      </c>
      <c r="AT354" s="6" t="str">
        <f>HYPERLINK("http://www.worldcat.org/oclc/404928","WorldCat Record")</f>
        <v>WorldCat Record</v>
      </c>
      <c r="AU354" s="3" t="s">
        <v>4236</v>
      </c>
      <c r="AV354" s="3" t="s">
        <v>4237</v>
      </c>
      <c r="AW354" s="3" t="s">
        <v>4238</v>
      </c>
      <c r="AX354" s="3" t="s">
        <v>4238</v>
      </c>
      <c r="AY354" s="3" t="s">
        <v>4239</v>
      </c>
      <c r="AZ354" s="3" t="s">
        <v>75</v>
      </c>
      <c r="BC354" s="3" t="s">
        <v>4240</v>
      </c>
      <c r="BD354" s="3" t="s">
        <v>4241</v>
      </c>
    </row>
    <row r="355" spans="1:56" ht="44.25" customHeight="1" x14ac:dyDescent="0.25">
      <c r="A355" s="7" t="s">
        <v>61</v>
      </c>
      <c r="B355" s="2" t="s">
        <v>4242</v>
      </c>
      <c r="C355" s="2" t="s">
        <v>4243</v>
      </c>
      <c r="D355" s="2" t="s">
        <v>4244</v>
      </c>
      <c r="F355" s="3" t="s">
        <v>61</v>
      </c>
      <c r="G355" s="3" t="s">
        <v>60</v>
      </c>
      <c r="H355" s="3" t="s">
        <v>61</v>
      </c>
      <c r="I355" s="3" t="s">
        <v>61</v>
      </c>
      <c r="J355" s="3" t="s">
        <v>62</v>
      </c>
      <c r="L355" s="2" t="s">
        <v>4245</v>
      </c>
      <c r="M355" s="3" t="s">
        <v>350</v>
      </c>
      <c r="O355" s="3" t="s">
        <v>114</v>
      </c>
      <c r="P355" s="3" t="s">
        <v>235</v>
      </c>
      <c r="R355" s="3" t="s">
        <v>68</v>
      </c>
      <c r="S355" s="4">
        <v>7</v>
      </c>
      <c r="T355" s="4">
        <v>7</v>
      </c>
      <c r="U355" s="5" t="s">
        <v>3941</v>
      </c>
      <c r="V355" s="5" t="s">
        <v>3941</v>
      </c>
      <c r="W355" s="5" t="s">
        <v>2699</v>
      </c>
      <c r="X355" s="5" t="s">
        <v>2699</v>
      </c>
      <c r="Y355" s="4">
        <v>291</v>
      </c>
      <c r="Z355" s="4">
        <v>258</v>
      </c>
      <c r="AA355" s="4">
        <v>298</v>
      </c>
      <c r="AB355" s="4">
        <v>3</v>
      </c>
      <c r="AC355" s="4">
        <v>4</v>
      </c>
      <c r="AD355" s="4">
        <v>15</v>
      </c>
      <c r="AE355" s="4">
        <v>17</v>
      </c>
      <c r="AF355" s="4">
        <v>6</v>
      </c>
      <c r="AG355" s="4">
        <v>7</v>
      </c>
      <c r="AH355" s="4">
        <v>7</v>
      </c>
      <c r="AI355" s="4">
        <v>7</v>
      </c>
      <c r="AJ355" s="4">
        <v>7</v>
      </c>
      <c r="AK355" s="4">
        <v>7</v>
      </c>
      <c r="AL355" s="4">
        <v>2</v>
      </c>
      <c r="AM355" s="4">
        <v>3</v>
      </c>
      <c r="AN355" s="4">
        <v>0</v>
      </c>
      <c r="AO355" s="4">
        <v>0</v>
      </c>
      <c r="AP355" s="3" t="s">
        <v>61</v>
      </c>
      <c r="AQ355" s="3" t="s">
        <v>59</v>
      </c>
      <c r="AR355" s="6" t="str">
        <f>HYPERLINK("http://catalog.hathitrust.org/Record/000263094","HathiTrust Record")</f>
        <v>HathiTrust Record</v>
      </c>
      <c r="AS355" s="6" t="str">
        <f>HYPERLINK("https://creighton-primo.hosted.exlibrisgroup.com/primo-explore/search?tab=default_tab&amp;search_scope=EVERYTHING&amp;vid=01CRU&amp;lang=en_US&amp;offset=0&amp;query=any,contains,991004754679702656","Catalog Record")</f>
        <v>Catalog Record</v>
      </c>
      <c r="AT355" s="6" t="str">
        <f>HYPERLINK("http://www.worldcat.org/oclc/4957194","WorldCat Record")</f>
        <v>WorldCat Record</v>
      </c>
      <c r="AU355" s="3" t="s">
        <v>4246</v>
      </c>
      <c r="AV355" s="3" t="s">
        <v>4247</v>
      </c>
      <c r="AW355" s="3" t="s">
        <v>4248</v>
      </c>
      <c r="AX355" s="3" t="s">
        <v>4248</v>
      </c>
      <c r="AY355" s="3" t="s">
        <v>4249</v>
      </c>
      <c r="AZ355" s="3" t="s">
        <v>75</v>
      </c>
      <c r="BB355" s="3" t="s">
        <v>4250</v>
      </c>
      <c r="BC355" s="3" t="s">
        <v>4251</v>
      </c>
      <c r="BD355" s="3" t="s">
        <v>4252</v>
      </c>
    </row>
    <row r="356" spans="1:56" ht="44.25" customHeight="1" x14ac:dyDescent="0.25">
      <c r="A356" s="7" t="s">
        <v>61</v>
      </c>
      <c r="B356" s="2" t="s">
        <v>4253</v>
      </c>
      <c r="C356" s="2" t="s">
        <v>4254</v>
      </c>
      <c r="D356" s="2" t="s">
        <v>4255</v>
      </c>
      <c r="F356" s="3" t="s">
        <v>61</v>
      </c>
      <c r="G356" s="3" t="s">
        <v>60</v>
      </c>
      <c r="H356" s="3" t="s">
        <v>61</v>
      </c>
      <c r="I356" s="3" t="s">
        <v>61</v>
      </c>
      <c r="J356" s="3" t="s">
        <v>62</v>
      </c>
      <c r="K356" s="2" t="s">
        <v>4256</v>
      </c>
      <c r="L356" s="2" t="s">
        <v>2201</v>
      </c>
      <c r="M356" s="3" t="s">
        <v>1744</v>
      </c>
      <c r="N356" s="2" t="s">
        <v>4257</v>
      </c>
      <c r="O356" s="3" t="s">
        <v>114</v>
      </c>
      <c r="P356" s="3" t="s">
        <v>235</v>
      </c>
      <c r="R356" s="3" t="s">
        <v>68</v>
      </c>
      <c r="S356" s="4">
        <v>1</v>
      </c>
      <c r="T356" s="4">
        <v>1</v>
      </c>
      <c r="U356" s="5" t="s">
        <v>4258</v>
      </c>
      <c r="V356" s="5" t="s">
        <v>4258</v>
      </c>
      <c r="W356" s="5" t="s">
        <v>4083</v>
      </c>
      <c r="X356" s="5" t="s">
        <v>4083</v>
      </c>
      <c r="Y356" s="4">
        <v>428</v>
      </c>
      <c r="Z356" s="4">
        <v>418</v>
      </c>
      <c r="AA356" s="4">
        <v>470</v>
      </c>
      <c r="AB356" s="4">
        <v>3</v>
      </c>
      <c r="AC356" s="4">
        <v>4</v>
      </c>
      <c r="AD356" s="4">
        <v>17</v>
      </c>
      <c r="AE356" s="4">
        <v>20</v>
      </c>
      <c r="AF356" s="4">
        <v>9</v>
      </c>
      <c r="AG356" s="4">
        <v>9</v>
      </c>
      <c r="AH356" s="4">
        <v>3</v>
      </c>
      <c r="AI356" s="4">
        <v>4</v>
      </c>
      <c r="AJ356" s="4">
        <v>9</v>
      </c>
      <c r="AK356" s="4">
        <v>10</v>
      </c>
      <c r="AL356" s="4">
        <v>1</v>
      </c>
      <c r="AM356" s="4">
        <v>2</v>
      </c>
      <c r="AN356" s="4">
        <v>0</v>
      </c>
      <c r="AO356" s="4">
        <v>0</v>
      </c>
      <c r="AP356" s="3" t="s">
        <v>61</v>
      </c>
      <c r="AQ356" s="3" t="s">
        <v>59</v>
      </c>
      <c r="AR356" s="6" t="str">
        <f>HYPERLINK("http://catalog.hathitrust.org/Record/000396850","HathiTrust Record")</f>
        <v>HathiTrust Record</v>
      </c>
      <c r="AS356" s="6" t="str">
        <f>HYPERLINK("https://creighton-primo.hosted.exlibrisgroup.com/primo-explore/search?tab=default_tab&amp;search_scope=EVERYTHING&amp;vid=01CRU&amp;lang=en_US&amp;offset=0&amp;query=any,contains,991004137629702656","Catalog Record")</f>
        <v>Catalog Record</v>
      </c>
      <c r="AT356" s="6" t="str">
        <f>HYPERLINK("http://www.worldcat.org/oclc/2491338","WorldCat Record")</f>
        <v>WorldCat Record</v>
      </c>
      <c r="AU356" s="3" t="s">
        <v>4259</v>
      </c>
      <c r="AV356" s="3" t="s">
        <v>4260</v>
      </c>
      <c r="AW356" s="3" t="s">
        <v>4261</v>
      </c>
      <c r="AX356" s="3" t="s">
        <v>4261</v>
      </c>
      <c r="AY356" s="3" t="s">
        <v>4262</v>
      </c>
      <c r="AZ356" s="3" t="s">
        <v>75</v>
      </c>
      <c r="BC356" s="3" t="s">
        <v>4263</v>
      </c>
      <c r="BD356" s="3" t="s">
        <v>4264</v>
      </c>
    </row>
    <row r="357" spans="1:56" ht="44.25" customHeight="1" x14ac:dyDescent="0.25">
      <c r="A357" s="7" t="s">
        <v>61</v>
      </c>
      <c r="B357" s="2" t="s">
        <v>4265</v>
      </c>
      <c r="C357" s="2" t="s">
        <v>4266</v>
      </c>
      <c r="D357" s="2" t="s">
        <v>4267</v>
      </c>
      <c r="F357" s="3" t="s">
        <v>61</v>
      </c>
      <c r="G357" s="3" t="s">
        <v>60</v>
      </c>
      <c r="H357" s="3" t="s">
        <v>61</v>
      </c>
      <c r="I357" s="3" t="s">
        <v>61</v>
      </c>
      <c r="J357" s="3" t="s">
        <v>62</v>
      </c>
      <c r="K357" s="2" t="s">
        <v>4268</v>
      </c>
      <c r="L357" s="2" t="s">
        <v>4269</v>
      </c>
      <c r="M357" s="3" t="s">
        <v>1465</v>
      </c>
      <c r="N357" s="2" t="s">
        <v>634</v>
      </c>
      <c r="O357" s="3" t="s">
        <v>114</v>
      </c>
      <c r="P357" s="3" t="s">
        <v>235</v>
      </c>
      <c r="R357" s="3" t="s">
        <v>68</v>
      </c>
      <c r="S357" s="4">
        <v>7</v>
      </c>
      <c r="T357" s="4">
        <v>7</v>
      </c>
      <c r="U357" s="5" t="s">
        <v>4270</v>
      </c>
      <c r="V357" s="5" t="s">
        <v>4270</v>
      </c>
      <c r="W357" s="5" t="s">
        <v>4271</v>
      </c>
      <c r="X357" s="5" t="s">
        <v>4271</v>
      </c>
      <c r="Y357" s="4">
        <v>1561</v>
      </c>
      <c r="Z357" s="4">
        <v>1440</v>
      </c>
      <c r="AA357" s="4">
        <v>1528</v>
      </c>
      <c r="AB357" s="4">
        <v>14</v>
      </c>
      <c r="AC357" s="4">
        <v>14</v>
      </c>
      <c r="AD357" s="4">
        <v>44</v>
      </c>
      <c r="AE357" s="4">
        <v>45</v>
      </c>
      <c r="AF357" s="4">
        <v>18</v>
      </c>
      <c r="AG357" s="4">
        <v>18</v>
      </c>
      <c r="AH357" s="4">
        <v>10</v>
      </c>
      <c r="AI357" s="4">
        <v>10</v>
      </c>
      <c r="AJ357" s="4">
        <v>20</v>
      </c>
      <c r="AK357" s="4">
        <v>21</v>
      </c>
      <c r="AL357" s="4">
        <v>8</v>
      </c>
      <c r="AM357" s="4">
        <v>8</v>
      </c>
      <c r="AN357" s="4">
        <v>0</v>
      </c>
      <c r="AO357" s="4">
        <v>0</v>
      </c>
      <c r="AP357" s="3" t="s">
        <v>61</v>
      </c>
      <c r="AQ357" s="3" t="s">
        <v>59</v>
      </c>
      <c r="AR357" s="6" t="str">
        <f>HYPERLINK("http://catalog.hathitrust.org/Record/002465364","HathiTrust Record")</f>
        <v>HathiTrust Record</v>
      </c>
      <c r="AS357" s="6" t="str">
        <f>HYPERLINK("https://creighton-primo.hosted.exlibrisgroup.com/primo-explore/search?tab=default_tab&amp;search_scope=EVERYTHING&amp;vid=01CRU&amp;lang=en_US&amp;offset=0&amp;query=any,contains,991001902009702656","Catalog Record")</f>
        <v>Catalog Record</v>
      </c>
      <c r="AT357" s="6" t="str">
        <f>HYPERLINK("http://www.worldcat.org/oclc/24011371","WorldCat Record")</f>
        <v>WorldCat Record</v>
      </c>
      <c r="AU357" s="3" t="s">
        <v>4272</v>
      </c>
      <c r="AV357" s="3" t="s">
        <v>4273</v>
      </c>
      <c r="AW357" s="3" t="s">
        <v>4274</v>
      </c>
      <c r="AX357" s="3" t="s">
        <v>4274</v>
      </c>
      <c r="AY357" s="3" t="s">
        <v>4275</v>
      </c>
      <c r="AZ357" s="3" t="s">
        <v>75</v>
      </c>
      <c r="BB357" s="3" t="s">
        <v>4276</v>
      </c>
      <c r="BC357" s="3" t="s">
        <v>4277</v>
      </c>
      <c r="BD357" s="3" t="s">
        <v>4278</v>
      </c>
    </row>
    <row r="358" spans="1:56" ht="44.25" customHeight="1" x14ac:dyDescent="0.25">
      <c r="A358" s="7" t="s">
        <v>61</v>
      </c>
      <c r="B358" s="2" t="s">
        <v>4279</v>
      </c>
      <c r="C358" s="2" t="s">
        <v>4280</v>
      </c>
      <c r="D358" s="2" t="s">
        <v>4281</v>
      </c>
      <c r="F358" s="3" t="s">
        <v>61</v>
      </c>
      <c r="G358" s="3" t="s">
        <v>60</v>
      </c>
      <c r="H358" s="3" t="s">
        <v>61</v>
      </c>
      <c r="I358" s="3" t="s">
        <v>61</v>
      </c>
      <c r="J358" s="3" t="s">
        <v>62</v>
      </c>
      <c r="K358" s="2" t="s">
        <v>4282</v>
      </c>
      <c r="L358" s="2" t="s">
        <v>4283</v>
      </c>
      <c r="M358" s="3" t="s">
        <v>1032</v>
      </c>
      <c r="O358" s="3" t="s">
        <v>114</v>
      </c>
      <c r="P358" s="3" t="s">
        <v>235</v>
      </c>
      <c r="Q358" s="2" t="s">
        <v>4284</v>
      </c>
      <c r="R358" s="3" t="s">
        <v>68</v>
      </c>
      <c r="S358" s="4">
        <v>4</v>
      </c>
      <c r="T358" s="4">
        <v>4</v>
      </c>
      <c r="U358" s="5" t="s">
        <v>4285</v>
      </c>
      <c r="V358" s="5" t="s">
        <v>4285</v>
      </c>
      <c r="W358" s="5" t="s">
        <v>4083</v>
      </c>
      <c r="X358" s="5" t="s">
        <v>4083</v>
      </c>
      <c r="Y358" s="4">
        <v>531</v>
      </c>
      <c r="Z358" s="4">
        <v>504</v>
      </c>
      <c r="AA358" s="4">
        <v>1011</v>
      </c>
      <c r="AB358" s="4">
        <v>6</v>
      </c>
      <c r="AC358" s="4">
        <v>11</v>
      </c>
      <c r="AD358" s="4">
        <v>28</v>
      </c>
      <c r="AE358" s="4">
        <v>42</v>
      </c>
      <c r="AF358" s="4">
        <v>14</v>
      </c>
      <c r="AG358" s="4">
        <v>20</v>
      </c>
      <c r="AH358" s="4">
        <v>5</v>
      </c>
      <c r="AI358" s="4">
        <v>6</v>
      </c>
      <c r="AJ358" s="4">
        <v>11</v>
      </c>
      <c r="AK358" s="4">
        <v>17</v>
      </c>
      <c r="AL358" s="4">
        <v>5</v>
      </c>
      <c r="AM358" s="4">
        <v>9</v>
      </c>
      <c r="AN358" s="4">
        <v>0</v>
      </c>
      <c r="AO358" s="4">
        <v>0</v>
      </c>
      <c r="AP358" s="3" t="s">
        <v>61</v>
      </c>
      <c r="AQ358" s="3" t="s">
        <v>59</v>
      </c>
      <c r="AR358" s="6" t="str">
        <f>HYPERLINK("http://catalog.hathitrust.org/Record/000400295","HathiTrust Record")</f>
        <v>HathiTrust Record</v>
      </c>
      <c r="AS358" s="6" t="str">
        <f>HYPERLINK("https://creighton-primo.hosted.exlibrisgroup.com/primo-explore/search?tab=default_tab&amp;search_scope=EVERYTHING&amp;vid=01CRU&amp;lang=en_US&amp;offset=0&amp;query=any,contains,991002488099702656","Catalog Record")</f>
        <v>Catalog Record</v>
      </c>
      <c r="AT358" s="6" t="str">
        <f>HYPERLINK("http://www.worldcat.org/oclc/361600","WorldCat Record")</f>
        <v>WorldCat Record</v>
      </c>
      <c r="AU358" s="3" t="s">
        <v>4286</v>
      </c>
      <c r="AV358" s="3" t="s">
        <v>4287</v>
      </c>
      <c r="AW358" s="3" t="s">
        <v>4288</v>
      </c>
      <c r="AX358" s="3" t="s">
        <v>4288</v>
      </c>
      <c r="AY358" s="3" t="s">
        <v>4289</v>
      </c>
      <c r="AZ358" s="3" t="s">
        <v>75</v>
      </c>
      <c r="BC358" s="3" t="s">
        <v>4290</v>
      </c>
      <c r="BD358" s="3" t="s">
        <v>4291</v>
      </c>
    </row>
    <row r="359" spans="1:56" ht="44.25" customHeight="1" x14ac:dyDescent="0.25">
      <c r="A359" s="7" t="s">
        <v>61</v>
      </c>
      <c r="B359" s="2" t="s">
        <v>4292</v>
      </c>
      <c r="C359" s="2" t="s">
        <v>4293</v>
      </c>
      <c r="D359" s="2" t="s">
        <v>4294</v>
      </c>
      <c r="F359" s="3" t="s">
        <v>61</v>
      </c>
      <c r="G359" s="3" t="s">
        <v>60</v>
      </c>
      <c r="H359" s="3" t="s">
        <v>61</v>
      </c>
      <c r="I359" s="3" t="s">
        <v>61</v>
      </c>
      <c r="J359" s="3" t="s">
        <v>62</v>
      </c>
      <c r="K359" s="2" t="s">
        <v>4295</v>
      </c>
      <c r="L359" s="2" t="s">
        <v>4296</v>
      </c>
      <c r="M359" s="3" t="s">
        <v>707</v>
      </c>
      <c r="O359" s="3" t="s">
        <v>114</v>
      </c>
      <c r="P359" s="3" t="s">
        <v>235</v>
      </c>
      <c r="R359" s="3" t="s">
        <v>68</v>
      </c>
      <c r="S359" s="4">
        <v>1</v>
      </c>
      <c r="T359" s="4">
        <v>1</v>
      </c>
      <c r="U359" s="5" t="s">
        <v>4297</v>
      </c>
      <c r="V359" s="5" t="s">
        <v>4297</v>
      </c>
      <c r="W359" s="5" t="s">
        <v>4298</v>
      </c>
      <c r="X359" s="5" t="s">
        <v>4298</v>
      </c>
      <c r="Y359" s="4">
        <v>485</v>
      </c>
      <c r="Z359" s="4">
        <v>434</v>
      </c>
      <c r="AA359" s="4">
        <v>684</v>
      </c>
      <c r="AB359" s="4">
        <v>3</v>
      </c>
      <c r="AC359" s="4">
        <v>6</v>
      </c>
      <c r="AD359" s="4">
        <v>14</v>
      </c>
      <c r="AE359" s="4">
        <v>34</v>
      </c>
      <c r="AF359" s="4">
        <v>8</v>
      </c>
      <c r="AG359" s="4">
        <v>12</v>
      </c>
      <c r="AH359" s="4">
        <v>2</v>
      </c>
      <c r="AI359" s="4">
        <v>9</v>
      </c>
      <c r="AJ359" s="4">
        <v>5</v>
      </c>
      <c r="AK359" s="4">
        <v>16</v>
      </c>
      <c r="AL359" s="4">
        <v>2</v>
      </c>
      <c r="AM359" s="4">
        <v>5</v>
      </c>
      <c r="AN359" s="4">
        <v>0</v>
      </c>
      <c r="AO359" s="4">
        <v>1</v>
      </c>
      <c r="AP359" s="3" t="s">
        <v>61</v>
      </c>
      <c r="AQ359" s="3" t="s">
        <v>59</v>
      </c>
      <c r="AR359" s="6" t="str">
        <f>HYPERLINK("http://catalog.hathitrust.org/Record/009511309","HathiTrust Record")</f>
        <v>HathiTrust Record</v>
      </c>
      <c r="AS359" s="6" t="str">
        <f>HYPERLINK("https://creighton-primo.hosted.exlibrisgroup.com/primo-explore/search?tab=default_tab&amp;search_scope=EVERYTHING&amp;vid=01CRU&amp;lang=en_US&amp;offset=0&amp;query=any,contains,991002677309702656","Catalog Record")</f>
        <v>Catalog Record</v>
      </c>
      <c r="AT359" s="6" t="str">
        <f>HYPERLINK("http://www.worldcat.org/oclc/397311","WorldCat Record")</f>
        <v>WorldCat Record</v>
      </c>
      <c r="AU359" s="3" t="s">
        <v>4299</v>
      </c>
      <c r="AV359" s="3" t="s">
        <v>4300</v>
      </c>
      <c r="AW359" s="3" t="s">
        <v>4301</v>
      </c>
      <c r="AX359" s="3" t="s">
        <v>4301</v>
      </c>
      <c r="AY359" s="3" t="s">
        <v>4302</v>
      </c>
      <c r="AZ359" s="3" t="s">
        <v>75</v>
      </c>
      <c r="BC359" s="3" t="s">
        <v>4303</v>
      </c>
      <c r="BD359" s="3" t="s">
        <v>4304</v>
      </c>
    </row>
    <row r="360" spans="1:56" ht="44.25" customHeight="1" x14ac:dyDescent="0.25">
      <c r="A360" s="7" t="s">
        <v>61</v>
      </c>
      <c r="B360" s="2" t="s">
        <v>4305</v>
      </c>
      <c r="C360" s="2" t="s">
        <v>4306</v>
      </c>
      <c r="D360" s="2" t="s">
        <v>4307</v>
      </c>
      <c r="F360" s="3" t="s">
        <v>61</v>
      </c>
      <c r="G360" s="3" t="s">
        <v>60</v>
      </c>
      <c r="H360" s="3" t="s">
        <v>61</v>
      </c>
      <c r="I360" s="3" t="s">
        <v>61</v>
      </c>
      <c r="J360" s="3" t="s">
        <v>62</v>
      </c>
      <c r="K360" s="2" t="s">
        <v>4308</v>
      </c>
      <c r="L360" s="2" t="s">
        <v>4309</v>
      </c>
      <c r="M360" s="3" t="s">
        <v>3279</v>
      </c>
      <c r="O360" s="3" t="s">
        <v>114</v>
      </c>
      <c r="P360" s="3" t="s">
        <v>235</v>
      </c>
      <c r="Q360" s="2" t="s">
        <v>4310</v>
      </c>
      <c r="R360" s="3" t="s">
        <v>68</v>
      </c>
      <c r="S360" s="4">
        <v>6</v>
      </c>
      <c r="T360" s="4">
        <v>6</v>
      </c>
      <c r="U360" s="5" t="s">
        <v>4311</v>
      </c>
      <c r="V360" s="5" t="s">
        <v>4311</v>
      </c>
      <c r="W360" s="5" t="s">
        <v>4083</v>
      </c>
      <c r="X360" s="5" t="s">
        <v>4083</v>
      </c>
      <c r="Y360" s="4">
        <v>415</v>
      </c>
      <c r="Z360" s="4">
        <v>386</v>
      </c>
      <c r="AA360" s="4">
        <v>497</v>
      </c>
      <c r="AB360" s="4">
        <v>3</v>
      </c>
      <c r="AC360" s="4">
        <v>4</v>
      </c>
      <c r="AD360" s="4">
        <v>17</v>
      </c>
      <c r="AE360" s="4">
        <v>20</v>
      </c>
      <c r="AF360" s="4">
        <v>6</v>
      </c>
      <c r="AG360" s="4">
        <v>7</v>
      </c>
      <c r="AH360" s="4">
        <v>6</v>
      </c>
      <c r="AI360" s="4">
        <v>6</v>
      </c>
      <c r="AJ360" s="4">
        <v>7</v>
      </c>
      <c r="AK360" s="4">
        <v>9</v>
      </c>
      <c r="AL360" s="4">
        <v>2</v>
      </c>
      <c r="AM360" s="4">
        <v>3</v>
      </c>
      <c r="AN360" s="4">
        <v>0</v>
      </c>
      <c r="AO360" s="4">
        <v>0</v>
      </c>
      <c r="AP360" s="3" t="s">
        <v>61</v>
      </c>
      <c r="AQ360" s="3" t="s">
        <v>59</v>
      </c>
      <c r="AR360" s="6" t="str">
        <f>HYPERLINK("http://catalog.hathitrust.org/Record/000397292","HathiTrust Record")</f>
        <v>HathiTrust Record</v>
      </c>
      <c r="AS360" s="6" t="str">
        <f>HYPERLINK("https://creighton-primo.hosted.exlibrisgroup.com/primo-explore/search?tab=default_tab&amp;search_scope=EVERYTHING&amp;vid=01CRU&amp;lang=en_US&amp;offset=0&amp;query=any,contains,991003147199702656","Catalog Record")</f>
        <v>Catalog Record</v>
      </c>
      <c r="AT360" s="6" t="str">
        <f>HYPERLINK("http://www.worldcat.org/oclc/687555","WorldCat Record")</f>
        <v>WorldCat Record</v>
      </c>
      <c r="AU360" s="3" t="s">
        <v>4312</v>
      </c>
      <c r="AV360" s="3" t="s">
        <v>4313</v>
      </c>
      <c r="AW360" s="3" t="s">
        <v>4314</v>
      </c>
      <c r="AX360" s="3" t="s">
        <v>4314</v>
      </c>
      <c r="AY360" s="3" t="s">
        <v>4315</v>
      </c>
      <c r="AZ360" s="3" t="s">
        <v>75</v>
      </c>
      <c r="BB360" s="3" t="s">
        <v>4316</v>
      </c>
      <c r="BC360" s="3" t="s">
        <v>4317</v>
      </c>
      <c r="BD360" s="3" t="s">
        <v>4318</v>
      </c>
    </row>
    <row r="361" spans="1:56" ht="44.25" customHeight="1" x14ac:dyDescent="0.25">
      <c r="A361" s="7" t="s">
        <v>61</v>
      </c>
      <c r="B361" s="2" t="s">
        <v>4319</v>
      </c>
      <c r="C361" s="2" t="s">
        <v>4320</v>
      </c>
      <c r="D361" s="2" t="s">
        <v>4321</v>
      </c>
      <c r="F361" s="3" t="s">
        <v>61</v>
      </c>
      <c r="G361" s="3" t="s">
        <v>60</v>
      </c>
      <c r="H361" s="3" t="s">
        <v>61</v>
      </c>
      <c r="I361" s="3" t="s">
        <v>61</v>
      </c>
      <c r="J361" s="3" t="s">
        <v>62</v>
      </c>
      <c r="K361" s="2" t="s">
        <v>4322</v>
      </c>
      <c r="L361" s="2" t="s">
        <v>4323</v>
      </c>
      <c r="M361" s="3" t="s">
        <v>113</v>
      </c>
      <c r="N361" s="2" t="s">
        <v>4324</v>
      </c>
      <c r="O361" s="3" t="s">
        <v>114</v>
      </c>
      <c r="P361" s="3" t="s">
        <v>235</v>
      </c>
      <c r="R361" s="3" t="s">
        <v>68</v>
      </c>
      <c r="S361" s="4">
        <v>4</v>
      </c>
      <c r="T361" s="4">
        <v>4</v>
      </c>
      <c r="U361" s="5" t="s">
        <v>4325</v>
      </c>
      <c r="V361" s="5" t="s">
        <v>4325</v>
      </c>
      <c r="W361" s="5" t="s">
        <v>4083</v>
      </c>
      <c r="X361" s="5" t="s">
        <v>4083</v>
      </c>
      <c r="Y361" s="4">
        <v>533</v>
      </c>
      <c r="Z361" s="4">
        <v>477</v>
      </c>
      <c r="AA361" s="4">
        <v>633</v>
      </c>
      <c r="AB361" s="4">
        <v>3</v>
      </c>
      <c r="AC361" s="4">
        <v>3</v>
      </c>
      <c r="AD361" s="4">
        <v>22</v>
      </c>
      <c r="AE361" s="4">
        <v>31</v>
      </c>
      <c r="AF361" s="4">
        <v>8</v>
      </c>
      <c r="AG361" s="4">
        <v>12</v>
      </c>
      <c r="AH361" s="4">
        <v>3</v>
      </c>
      <c r="AI361" s="4">
        <v>7</v>
      </c>
      <c r="AJ361" s="4">
        <v>13</v>
      </c>
      <c r="AK361" s="4">
        <v>20</v>
      </c>
      <c r="AL361" s="4">
        <v>2</v>
      </c>
      <c r="AM361" s="4">
        <v>2</v>
      </c>
      <c r="AN361" s="4">
        <v>0</v>
      </c>
      <c r="AO361" s="4">
        <v>0</v>
      </c>
      <c r="AP361" s="3" t="s">
        <v>61</v>
      </c>
      <c r="AQ361" s="3" t="s">
        <v>59</v>
      </c>
      <c r="AR361" s="6" t="str">
        <f>HYPERLINK("http://catalog.hathitrust.org/Record/000396894","HathiTrust Record")</f>
        <v>HathiTrust Record</v>
      </c>
      <c r="AS361" s="6" t="str">
        <f>HYPERLINK("https://creighton-primo.hosted.exlibrisgroup.com/primo-explore/search?tab=default_tab&amp;search_scope=EVERYTHING&amp;vid=01CRU&amp;lang=en_US&amp;offset=0&amp;query=any,contains,991002670559702656","Catalog Record")</f>
        <v>Catalog Record</v>
      </c>
      <c r="AT361" s="6" t="str">
        <f>HYPERLINK("http://www.worldcat.org/oclc/394937","WorldCat Record")</f>
        <v>WorldCat Record</v>
      </c>
      <c r="AU361" s="3" t="s">
        <v>4326</v>
      </c>
      <c r="AV361" s="3" t="s">
        <v>4327</v>
      </c>
      <c r="AW361" s="3" t="s">
        <v>4328</v>
      </c>
      <c r="AX361" s="3" t="s">
        <v>4328</v>
      </c>
      <c r="AY361" s="3" t="s">
        <v>4329</v>
      </c>
      <c r="AZ361" s="3" t="s">
        <v>75</v>
      </c>
      <c r="BC361" s="3" t="s">
        <v>4330</v>
      </c>
      <c r="BD361" s="3" t="s">
        <v>4331</v>
      </c>
    </row>
    <row r="362" spans="1:56" ht="44.25" customHeight="1" x14ac:dyDescent="0.25">
      <c r="A362" s="7" t="s">
        <v>61</v>
      </c>
      <c r="B362" s="2" t="s">
        <v>4332</v>
      </c>
      <c r="C362" s="2" t="s">
        <v>4333</v>
      </c>
      <c r="D362" s="2" t="s">
        <v>4334</v>
      </c>
      <c r="F362" s="3" t="s">
        <v>61</v>
      </c>
      <c r="G362" s="3" t="s">
        <v>60</v>
      </c>
      <c r="H362" s="3" t="s">
        <v>61</v>
      </c>
      <c r="I362" s="3" t="s">
        <v>61</v>
      </c>
      <c r="J362" s="3" t="s">
        <v>62</v>
      </c>
      <c r="K362" s="2" t="s">
        <v>4335</v>
      </c>
      <c r="L362" s="2" t="s">
        <v>4336</v>
      </c>
      <c r="M362" s="3" t="s">
        <v>4337</v>
      </c>
      <c r="O362" s="3" t="s">
        <v>114</v>
      </c>
      <c r="P362" s="3" t="s">
        <v>115</v>
      </c>
      <c r="Q362" s="2" t="s">
        <v>3402</v>
      </c>
      <c r="R362" s="3" t="s">
        <v>68</v>
      </c>
      <c r="S362" s="4">
        <v>8</v>
      </c>
      <c r="T362" s="4">
        <v>8</v>
      </c>
      <c r="U362" s="5" t="s">
        <v>4338</v>
      </c>
      <c r="V362" s="5" t="s">
        <v>4338</v>
      </c>
      <c r="W362" s="5" t="s">
        <v>4083</v>
      </c>
      <c r="X362" s="5" t="s">
        <v>4083</v>
      </c>
      <c r="Y362" s="4">
        <v>1041</v>
      </c>
      <c r="Z362" s="4">
        <v>867</v>
      </c>
      <c r="AA362" s="4">
        <v>877</v>
      </c>
      <c r="AB362" s="4">
        <v>7</v>
      </c>
      <c r="AC362" s="4">
        <v>7</v>
      </c>
      <c r="AD362" s="4">
        <v>36</v>
      </c>
      <c r="AE362" s="4">
        <v>36</v>
      </c>
      <c r="AF362" s="4">
        <v>13</v>
      </c>
      <c r="AG362" s="4">
        <v>13</v>
      </c>
      <c r="AH362" s="4">
        <v>7</v>
      </c>
      <c r="AI362" s="4">
        <v>7</v>
      </c>
      <c r="AJ362" s="4">
        <v>19</v>
      </c>
      <c r="AK362" s="4">
        <v>19</v>
      </c>
      <c r="AL362" s="4">
        <v>6</v>
      </c>
      <c r="AM362" s="4">
        <v>6</v>
      </c>
      <c r="AN362" s="4">
        <v>0</v>
      </c>
      <c r="AO362" s="4">
        <v>0</v>
      </c>
      <c r="AP362" s="3" t="s">
        <v>61</v>
      </c>
      <c r="AQ362" s="3" t="s">
        <v>61</v>
      </c>
      <c r="AR362" s="6" t="str">
        <f>HYPERLINK("http://catalog.hathitrust.org/Record/000401478","HathiTrust Record")</f>
        <v>HathiTrust Record</v>
      </c>
      <c r="AS362" s="6" t="str">
        <f>HYPERLINK("https://creighton-primo.hosted.exlibrisgroup.com/primo-explore/search?tab=default_tab&amp;search_scope=EVERYTHING&amp;vid=01CRU&amp;lang=en_US&amp;offset=0&amp;query=any,contains,991002265149702656","Catalog Record")</f>
        <v>Catalog Record</v>
      </c>
      <c r="AT362" s="6" t="str">
        <f>HYPERLINK("http://www.worldcat.org/oclc/306632","WorldCat Record")</f>
        <v>WorldCat Record</v>
      </c>
      <c r="AU362" s="3" t="s">
        <v>4339</v>
      </c>
      <c r="AV362" s="3" t="s">
        <v>4340</v>
      </c>
      <c r="AW362" s="3" t="s">
        <v>4341</v>
      </c>
      <c r="AX362" s="3" t="s">
        <v>4341</v>
      </c>
      <c r="AY362" s="3" t="s">
        <v>4342</v>
      </c>
      <c r="AZ362" s="3" t="s">
        <v>75</v>
      </c>
      <c r="BC362" s="3" t="s">
        <v>4343</v>
      </c>
      <c r="BD362" s="3" t="s">
        <v>4344</v>
      </c>
    </row>
    <row r="363" spans="1:56" ht="44.25" customHeight="1" x14ac:dyDescent="0.25">
      <c r="A363" s="7" t="s">
        <v>61</v>
      </c>
      <c r="B363" s="2" t="s">
        <v>4345</v>
      </c>
      <c r="C363" s="2" t="s">
        <v>4346</v>
      </c>
      <c r="D363" s="2" t="s">
        <v>4347</v>
      </c>
      <c r="F363" s="3" t="s">
        <v>61</v>
      </c>
      <c r="G363" s="3" t="s">
        <v>60</v>
      </c>
      <c r="H363" s="3" t="s">
        <v>61</v>
      </c>
      <c r="I363" s="3" t="s">
        <v>61</v>
      </c>
      <c r="J363" s="3" t="s">
        <v>62</v>
      </c>
      <c r="K363" s="2" t="s">
        <v>4348</v>
      </c>
      <c r="L363" s="2" t="s">
        <v>4349</v>
      </c>
      <c r="M363" s="3" t="s">
        <v>4350</v>
      </c>
      <c r="O363" s="3" t="s">
        <v>114</v>
      </c>
      <c r="P363" s="3" t="s">
        <v>67</v>
      </c>
      <c r="R363" s="3" t="s">
        <v>68</v>
      </c>
      <c r="S363" s="4">
        <v>2</v>
      </c>
      <c r="T363" s="4">
        <v>2</v>
      </c>
      <c r="U363" s="5" t="s">
        <v>4351</v>
      </c>
      <c r="V363" s="5" t="s">
        <v>4351</v>
      </c>
      <c r="W363" s="5" t="s">
        <v>4083</v>
      </c>
      <c r="X363" s="5" t="s">
        <v>4083</v>
      </c>
      <c r="Y363" s="4">
        <v>108</v>
      </c>
      <c r="Z363" s="4">
        <v>96</v>
      </c>
      <c r="AA363" s="4">
        <v>503</v>
      </c>
      <c r="AB363" s="4">
        <v>3</v>
      </c>
      <c r="AC363" s="4">
        <v>4</v>
      </c>
      <c r="AD363" s="4">
        <v>3</v>
      </c>
      <c r="AE363" s="4">
        <v>22</v>
      </c>
      <c r="AF363" s="4">
        <v>0</v>
      </c>
      <c r="AG363" s="4">
        <v>6</v>
      </c>
      <c r="AH363" s="4">
        <v>0</v>
      </c>
      <c r="AI363" s="4">
        <v>6</v>
      </c>
      <c r="AJ363" s="4">
        <v>1</v>
      </c>
      <c r="AK363" s="4">
        <v>13</v>
      </c>
      <c r="AL363" s="4">
        <v>2</v>
      </c>
      <c r="AM363" s="4">
        <v>3</v>
      </c>
      <c r="AN363" s="4">
        <v>0</v>
      </c>
      <c r="AO363" s="4">
        <v>0</v>
      </c>
      <c r="AP363" s="3" t="s">
        <v>59</v>
      </c>
      <c r="AQ363" s="3" t="s">
        <v>61</v>
      </c>
      <c r="AR363" s="6" t="str">
        <f>HYPERLINK("http://catalog.hathitrust.org/Record/006598737","HathiTrust Record")</f>
        <v>HathiTrust Record</v>
      </c>
      <c r="AS363" s="6" t="str">
        <f>HYPERLINK("https://creighton-primo.hosted.exlibrisgroup.com/primo-explore/search?tab=default_tab&amp;search_scope=EVERYTHING&amp;vid=01CRU&amp;lang=en_US&amp;offset=0&amp;query=any,contains,991002670359702656","Catalog Record")</f>
        <v>Catalog Record</v>
      </c>
      <c r="AT363" s="6" t="str">
        <f>HYPERLINK("http://www.worldcat.org/oclc/394908","WorldCat Record")</f>
        <v>WorldCat Record</v>
      </c>
      <c r="AU363" s="3" t="s">
        <v>4352</v>
      </c>
      <c r="AV363" s="3" t="s">
        <v>4353</v>
      </c>
      <c r="AW363" s="3" t="s">
        <v>4354</v>
      </c>
      <c r="AX363" s="3" t="s">
        <v>4354</v>
      </c>
      <c r="AY363" s="3" t="s">
        <v>4355</v>
      </c>
      <c r="AZ363" s="3" t="s">
        <v>75</v>
      </c>
      <c r="BC363" s="3" t="s">
        <v>4356</v>
      </c>
      <c r="BD363" s="3" t="s">
        <v>4357</v>
      </c>
    </row>
    <row r="364" spans="1:56" ht="44.25" customHeight="1" x14ac:dyDescent="0.25">
      <c r="A364" s="7" t="s">
        <v>61</v>
      </c>
      <c r="B364" s="2" t="s">
        <v>4358</v>
      </c>
      <c r="C364" s="2" t="s">
        <v>4359</v>
      </c>
      <c r="D364" s="2" t="s">
        <v>4360</v>
      </c>
      <c r="F364" s="3" t="s">
        <v>61</v>
      </c>
      <c r="G364" s="3" t="s">
        <v>60</v>
      </c>
      <c r="H364" s="3" t="s">
        <v>61</v>
      </c>
      <c r="I364" s="3" t="s">
        <v>61</v>
      </c>
      <c r="J364" s="3" t="s">
        <v>62</v>
      </c>
      <c r="K364" s="2" t="s">
        <v>4361</v>
      </c>
      <c r="L364" s="2" t="s">
        <v>4362</v>
      </c>
      <c r="M364" s="3" t="s">
        <v>1319</v>
      </c>
      <c r="N364" s="2" t="s">
        <v>4363</v>
      </c>
      <c r="O364" s="3" t="s">
        <v>114</v>
      </c>
      <c r="P364" s="3" t="s">
        <v>235</v>
      </c>
      <c r="R364" s="3" t="s">
        <v>68</v>
      </c>
      <c r="S364" s="4">
        <v>1</v>
      </c>
      <c r="T364" s="4">
        <v>1</v>
      </c>
      <c r="U364" s="5" t="s">
        <v>4364</v>
      </c>
      <c r="V364" s="5" t="s">
        <v>4364</v>
      </c>
      <c r="W364" s="5" t="s">
        <v>4364</v>
      </c>
      <c r="X364" s="5" t="s">
        <v>4364</v>
      </c>
      <c r="Y364" s="4">
        <v>337</v>
      </c>
      <c r="Z364" s="4">
        <v>310</v>
      </c>
      <c r="AA364" s="4">
        <v>868</v>
      </c>
      <c r="AB364" s="4">
        <v>2</v>
      </c>
      <c r="AC364" s="4">
        <v>5</v>
      </c>
      <c r="AD364" s="4">
        <v>15</v>
      </c>
      <c r="AE364" s="4">
        <v>36</v>
      </c>
      <c r="AF364" s="4">
        <v>7</v>
      </c>
      <c r="AG364" s="4">
        <v>15</v>
      </c>
      <c r="AH364" s="4">
        <v>4</v>
      </c>
      <c r="AI364" s="4">
        <v>8</v>
      </c>
      <c r="AJ364" s="4">
        <v>5</v>
      </c>
      <c r="AK364" s="4">
        <v>17</v>
      </c>
      <c r="AL364" s="4">
        <v>1</v>
      </c>
      <c r="AM364" s="4">
        <v>4</v>
      </c>
      <c r="AN364" s="4">
        <v>0</v>
      </c>
      <c r="AO364" s="4">
        <v>0</v>
      </c>
      <c r="AP364" s="3" t="s">
        <v>61</v>
      </c>
      <c r="AQ364" s="3" t="s">
        <v>59</v>
      </c>
      <c r="AR364" s="6" t="str">
        <f>HYPERLINK("http://catalog.hathitrust.org/Record/000412345","HathiTrust Record")</f>
        <v>HathiTrust Record</v>
      </c>
      <c r="AS364" s="6" t="str">
        <f>HYPERLINK("https://creighton-primo.hosted.exlibrisgroup.com/primo-explore/search?tab=default_tab&amp;search_scope=EVERYTHING&amp;vid=01CRU&amp;lang=en_US&amp;offset=0&amp;query=any,contains,991003996539702656","Catalog Record")</f>
        <v>Catalog Record</v>
      </c>
      <c r="AT364" s="6" t="str">
        <f>HYPERLINK("http://www.worldcat.org/oclc/5796833","WorldCat Record")</f>
        <v>WorldCat Record</v>
      </c>
      <c r="AU364" s="3" t="s">
        <v>4365</v>
      </c>
      <c r="AV364" s="3" t="s">
        <v>4366</v>
      </c>
      <c r="AW364" s="3" t="s">
        <v>4367</v>
      </c>
      <c r="AX364" s="3" t="s">
        <v>4367</v>
      </c>
      <c r="AY364" s="3" t="s">
        <v>4368</v>
      </c>
      <c r="AZ364" s="3" t="s">
        <v>75</v>
      </c>
      <c r="BC364" s="3" t="s">
        <v>4369</v>
      </c>
      <c r="BD364" s="3" t="s">
        <v>4370</v>
      </c>
    </row>
    <row r="365" spans="1:56" ht="44.25" customHeight="1" x14ac:dyDescent="0.25">
      <c r="A365" s="7" t="s">
        <v>61</v>
      </c>
      <c r="B365" s="2" t="s">
        <v>4371</v>
      </c>
      <c r="C365" s="2" t="s">
        <v>4372</v>
      </c>
      <c r="D365" s="2" t="s">
        <v>4373</v>
      </c>
      <c r="F365" s="3" t="s">
        <v>61</v>
      </c>
      <c r="G365" s="3" t="s">
        <v>60</v>
      </c>
      <c r="H365" s="3" t="s">
        <v>61</v>
      </c>
      <c r="I365" s="3" t="s">
        <v>61</v>
      </c>
      <c r="J365" s="3" t="s">
        <v>62</v>
      </c>
      <c r="K365" s="2" t="s">
        <v>4374</v>
      </c>
      <c r="L365" s="2" t="s">
        <v>4375</v>
      </c>
      <c r="M365" s="3" t="s">
        <v>1624</v>
      </c>
      <c r="O365" s="3" t="s">
        <v>114</v>
      </c>
      <c r="P365" s="3" t="s">
        <v>1114</v>
      </c>
      <c r="R365" s="3" t="s">
        <v>68</v>
      </c>
      <c r="S365" s="4">
        <v>20</v>
      </c>
      <c r="T365" s="4">
        <v>20</v>
      </c>
      <c r="U365" s="5" t="s">
        <v>4376</v>
      </c>
      <c r="V365" s="5" t="s">
        <v>4376</v>
      </c>
      <c r="W365" s="5" t="s">
        <v>4208</v>
      </c>
      <c r="X365" s="5" t="s">
        <v>4208</v>
      </c>
      <c r="Y365" s="4">
        <v>1035</v>
      </c>
      <c r="Z365" s="4">
        <v>919</v>
      </c>
      <c r="AA365" s="4">
        <v>1495</v>
      </c>
      <c r="AB365" s="4">
        <v>7</v>
      </c>
      <c r="AC365" s="4">
        <v>11</v>
      </c>
      <c r="AD365" s="4">
        <v>37</v>
      </c>
      <c r="AE365" s="4">
        <v>58</v>
      </c>
      <c r="AF365" s="4">
        <v>17</v>
      </c>
      <c r="AG365" s="4">
        <v>27</v>
      </c>
      <c r="AH365" s="4">
        <v>5</v>
      </c>
      <c r="AI365" s="4">
        <v>9</v>
      </c>
      <c r="AJ365" s="4">
        <v>18</v>
      </c>
      <c r="AK365" s="4">
        <v>26</v>
      </c>
      <c r="AL365" s="4">
        <v>6</v>
      </c>
      <c r="AM365" s="4">
        <v>10</v>
      </c>
      <c r="AN365" s="4">
        <v>0</v>
      </c>
      <c r="AO365" s="4">
        <v>0</v>
      </c>
      <c r="AP365" s="3" t="s">
        <v>61</v>
      </c>
      <c r="AQ365" s="3" t="s">
        <v>59</v>
      </c>
      <c r="AR365" s="6" t="str">
        <f>HYPERLINK("http://catalog.hathitrust.org/Record/000396905","HathiTrust Record")</f>
        <v>HathiTrust Record</v>
      </c>
      <c r="AS365" s="6" t="str">
        <f>HYPERLINK("https://creighton-primo.hosted.exlibrisgroup.com/primo-explore/search?tab=default_tab&amp;search_scope=EVERYTHING&amp;vid=01CRU&amp;lang=en_US&amp;offset=0&amp;query=any,contains,991002487739702656","Catalog Record")</f>
        <v>Catalog Record</v>
      </c>
      <c r="AT365" s="6" t="str">
        <f>HYPERLINK("http://www.worldcat.org/oclc/361520","WorldCat Record")</f>
        <v>WorldCat Record</v>
      </c>
      <c r="AU365" s="3" t="s">
        <v>4377</v>
      </c>
      <c r="AV365" s="3" t="s">
        <v>4378</v>
      </c>
      <c r="AW365" s="3" t="s">
        <v>4379</v>
      </c>
      <c r="AX365" s="3" t="s">
        <v>4379</v>
      </c>
      <c r="AY365" s="3" t="s">
        <v>4380</v>
      </c>
      <c r="AZ365" s="3" t="s">
        <v>75</v>
      </c>
      <c r="BC365" s="3" t="s">
        <v>4381</v>
      </c>
      <c r="BD365" s="3" t="s">
        <v>4382</v>
      </c>
    </row>
    <row r="366" spans="1:56" ht="44.25" customHeight="1" x14ac:dyDescent="0.25">
      <c r="A366" s="7" t="s">
        <v>61</v>
      </c>
      <c r="B366" s="2" t="s">
        <v>4383</v>
      </c>
      <c r="C366" s="2" t="s">
        <v>4384</v>
      </c>
      <c r="D366" s="2" t="s">
        <v>4385</v>
      </c>
      <c r="F366" s="3" t="s">
        <v>61</v>
      </c>
      <c r="G366" s="3" t="s">
        <v>60</v>
      </c>
      <c r="H366" s="3" t="s">
        <v>61</v>
      </c>
      <c r="I366" s="3" t="s">
        <v>61</v>
      </c>
      <c r="J366" s="3" t="s">
        <v>62</v>
      </c>
      <c r="K366" s="2" t="s">
        <v>4386</v>
      </c>
      <c r="L366" s="2" t="s">
        <v>4387</v>
      </c>
      <c r="M366" s="3" t="s">
        <v>1507</v>
      </c>
      <c r="N366" s="2" t="s">
        <v>306</v>
      </c>
      <c r="O366" s="3" t="s">
        <v>114</v>
      </c>
      <c r="P366" s="3" t="s">
        <v>235</v>
      </c>
      <c r="Q366" s="2" t="s">
        <v>4388</v>
      </c>
      <c r="R366" s="3" t="s">
        <v>68</v>
      </c>
      <c r="S366" s="4">
        <v>8</v>
      </c>
      <c r="T366" s="4">
        <v>8</v>
      </c>
      <c r="U366" s="5" t="s">
        <v>4389</v>
      </c>
      <c r="V366" s="5" t="s">
        <v>4389</v>
      </c>
      <c r="W366" s="5" t="s">
        <v>4083</v>
      </c>
      <c r="X366" s="5" t="s">
        <v>4083</v>
      </c>
      <c r="Y366" s="4">
        <v>909</v>
      </c>
      <c r="Z366" s="4">
        <v>794</v>
      </c>
      <c r="AA366" s="4">
        <v>806</v>
      </c>
      <c r="AB366" s="4">
        <v>8</v>
      </c>
      <c r="AC366" s="4">
        <v>8</v>
      </c>
      <c r="AD366" s="4">
        <v>34</v>
      </c>
      <c r="AE366" s="4">
        <v>35</v>
      </c>
      <c r="AF366" s="4">
        <v>11</v>
      </c>
      <c r="AG366" s="4">
        <v>12</v>
      </c>
      <c r="AH366" s="4">
        <v>10</v>
      </c>
      <c r="AI366" s="4">
        <v>10</v>
      </c>
      <c r="AJ366" s="4">
        <v>19</v>
      </c>
      <c r="AK366" s="4">
        <v>19</v>
      </c>
      <c r="AL366" s="4">
        <v>6</v>
      </c>
      <c r="AM366" s="4">
        <v>6</v>
      </c>
      <c r="AN366" s="4">
        <v>0</v>
      </c>
      <c r="AO366" s="4">
        <v>0</v>
      </c>
      <c r="AP366" s="3" t="s">
        <v>61</v>
      </c>
      <c r="AQ366" s="3" t="s">
        <v>59</v>
      </c>
      <c r="AR366" s="6" t="str">
        <f>HYPERLINK("http://catalog.hathitrust.org/Record/000715023","HathiTrust Record")</f>
        <v>HathiTrust Record</v>
      </c>
      <c r="AS366" s="6" t="str">
        <f>HYPERLINK("https://creighton-primo.hosted.exlibrisgroup.com/primo-explore/search?tab=default_tab&amp;search_scope=EVERYTHING&amp;vid=01CRU&amp;lang=en_US&amp;offset=0&amp;query=any,contains,991003189019702656","Catalog Record")</f>
        <v>Catalog Record</v>
      </c>
      <c r="AT366" s="6" t="str">
        <f>HYPERLINK("http://www.worldcat.org/oclc/714346","WorldCat Record")</f>
        <v>WorldCat Record</v>
      </c>
      <c r="AU366" s="3" t="s">
        <v>4390</v>
      </c>
      <c r="AV366" s="3" t="s">
        <v>4391</v>
      </c>
      <c r="AW366" s="3" t="s">
        <v>4392</v>
      </c>
      <c r="AX366" s="3" t="s">
        <v>4392</v>
      </c>
      <c r="AY366" s="3" t="s">
        <v>4393</v>
      </c>
      <c r="AZ366" s="3" t="s">
        <v>75</v>
      </c>
      <c r="BB366" s="3" t="s">
        <v>4394</v>
      </c>
      <c r="BC366" s="3" t="s">
        <v>4395</v>
      </c>
      <c r="BD366" s="3" t="s">
        <v>4396</v>
      </c>
    </row>
    <row r="367" spans="1:56" ht="44.25" customHeight="1" x14ac:dyDescent="0.25">
      <c r="A367" s="7" t="s">
        <v>61</v>
      </c>
      <c r="B367" s="2" t="s">
        <v>4397</v>
      </c>
      <c r="C367" s="2" t="s">
        <v>4398</v>
      </c>
      <c r="D367" s="2" t="s">
        <v>4399</v>
      </c>
      <c r="F367" s="3" t="s">
        <v>61</v>
      </c>
      <c r="G367" s="3" t="s">
        <v>60</v>
      </c>
      <c r="H367" s="3" t="s">
        <v>61</v>
      </c>
      <c r="I367" s="3" t="s">
        <v>61</v>
      </c>
      <c r="J367" s="3" t="s">
        <v>62</v>
      </c>
      <c r="K367" s="2" t="s">
        <v>4400</v>
      </c>
      <c r="L367" s="2" t="s">
        <v>4401</v>
      </c>
      <c r="M367" s="3" t="s">
        <v>884</v>
      </c>
      <c r="O367" s="3" t="s">
        <v>114</v>
      </c>
      <c r="P367" s="3" t="s">
        <v>192</v>
      </c>
      <c r="R367" s="3" t="s">
        <v>68</v>
      </c>
      <c r="S367" s="4">
        <v>2</v>
      </c>
      <c r="T367" s="4">
        <v>2</v>
      </c>
      <c r="U367" s="5" t="s">
        <v>2310</v>
      </c>
      <c r="V367" s="5" t="s">
        <v>2310</v>
      </c>
      <c r="W367" s="5" t="s">
        <v>4083</v>
      </c>
      <c r="X367" s="5" t="s">
        <v>4083</v>
      </c>
      <c r="Y367" s="4">
        <v>286</v>
      </c>
      <c r="Z367" s="4">
        <v>226</v>
      </c>
      <c r="AA367" s="4">
        <v>319</v>
      </c>
      <c r="AB367" s="4">
        <v>3</v>
      </c>
      <c r="AC367" s="4">
        <v>4</v>
      </c>
      <c r="AD367" s="4">
        <v>16</v>
      </c>
      <c r="AE367" s="4">
        <v>21</v>
      </c>
      <c r="AF367" s="4">
        <v>9</v>
      </c>
      <c r="AG367" s="4">
        <v>11</v>
      </c>
      <c r="AH367" s="4">
        <v>3</v>
      </c>
      <c r="AI367" s="4">
        <v>5</v>
      </c>
      <c r="AJ367" s="4">
        <v>5</v>
      </c>
      <c r="AK367" s="4">
        <v>6</v>
      </c>
      <c r="AL367" s="4">
        <v>2</v>
      </c>
      <c r="AM367" s="4">
        <v>3</v>
      </c>
      <c r="AN367" s="4">
        <v>0</v>
      </c>
      <c r="AO367" s="4">
        <v>0</v>
      </c>
      <c r="AP367" s="3" t="s">
        <v>61</v>
      </c>
      <c r="AQ367" s="3" t="s">
        <v>59</v>
      </c>
      <c r="AR367" s="6" t="str">
        <f>HYPERLINK("http://catalog.hathitrust.org/Record/102069036","HathiTrust Record")</f>
        <v>HathiTrust Record</v>
      </c>
      <c r="AS367" s="6" t="str">
        <f>HYPERLINK("https://creighton-primo.hosted.exlibrisgroup.com/primo-explore/search?tab=default_tab&amp;search_scope=EVERYTHING&amp;vid=01CRU&amp;lang=en_US&amp;offset=0&amp;query=any,contains,991000718969702656","Catalog Record")</f>
        <v>Catalog Record</v>
      </c>
      <c r="AT367" s="6" t="str">
        <f>HYPERLINK("http://www.worldcat.org/oclc/126111","WorldCat Record")</f>
        <v>WorldCat Record</v>
      </c>
      <c r="AU367" s="3" t="s">
        <v>4402</v>
      </c>
      <c r="AV367" s="3" t="s">
        <v>4403</v>
      </c>
      <c r="AW367" s="3" t="s">
        <v>4404</v>
      </c>
      <c r="AX367" s="3" t="s">
        <v>4404</v>
      </c>
      <c r="AY367" s="3" t="s">
        <v>4405</v>
      </c>
      <c r="AZ367" s="3" t="s">
        <v>75</v>
      </c>
      <c r="BB367" s="3" t="s">
        <v>4406</v>
      </c>
      <c r="BC367" s="3" t="s">
        <v>4407</v>
      </c>
      <c r="BD367" s="3" t="s">
        <v>4408</v>
      </c>
    </row>
    <row r="368" spans="1:56" ht="44.25" customHeight="1" x14ac:dyDescent="0.25">
      <c r="A368" s="7" t="s">
        <v>61</v>
      </c>
      <c r="B368" s="2" t="s">
        <v>4409</v>
      </c>
      <c r="C368" s="2" t="s">
        <v>4410</v>
      </c>
      <c r="D368" s="2" t="s">
        <v>4411</v>
      </c>
      <c r="F368" s="3" t="s">
        <v>61</v>
      </c>
      <c r="G368" s="3" t="s">
        <v>60</v>
      </c>
      <c r="H368" s="3" t="s">
        <v>61</v>
      </c>
      <c r="I368" s="3" t="s">
        <v>61</v>
      </c>
      <c r="J368" s="3" t="s">
        <v>62</v>
      </c>
      <c r="K368" s="2" t="s">
        <v>4412</v>
      </c>
      <c r="L368" s="2" t="s">
        <v>4413</v>
      </c>
      <c r="M368" s="3" t="s">
        <v>707</v>
      </c>
      <c r="O368" s="3" t="s">
        <v>114</v>
      </c>
      <c r="P368" s="3" t="s">
        <v>649</v>
      </c>
      <c r="R368" s="3" t="s">
        <v>68</v>
      </c>
      <c r="S368" s="4">
        <v>8</v>
      </c>
      <c r="T368" s="4">
        <v>8</v>
      </c>
      <c r="U368" s="5" t="s">
        <v>4414</v>
      </c>
      <c r="V368" s="5" t="s">
        <v>4414</v>
      </c>
      <c r="W368" s="5" t="s">
        <v>4083</v>
      </c>
      <c r="X368" s="5" t="s">
        <v>4083</v>
      </c>
      <c r="Y368" s="4">
        <v>229</v>
      </c>
      <c r="Z368" s="4">
        <v>192</v>
      </c>
      <c r="AA368" s="4">
        <v>721</v>
      </c>
      <c r="AB368" s="4">
        <v>2</v>
      </c>
      <c r="AC368" s="4">
        <v>5</v>
      </c>
      <c r="AD368" s="4">
        <v>5</v>
      </c>
      <c r="AE368" s="4">
        <v>34</v>
      </c>
      <c r="AF368" s="4">
        <v>2</v>
      </c>
      <c r="AG368" s="4">
        <v>18</v>
      </c>
      <c r="AH368" s="4">
        <v>1</v>
      </c>
      <c r="AI368" s="4">
        <v>4</v>
      </c>
      <c r="AJ368" s="4">
        <v>1</v>
      </c>
      <c r="AK368" s="4">
        <v>16</v>
      </c>
      <c r="AL368" s="4">
        <v>1</v>
      </c>
      <c r="AM368" s="4">
        <v>4</v>
      </c>
      <c r="AN368" s="4">
        <v>0</v>
      </c>
      <c r="AO368" s="4">
        <v>1</v>
      </c>
      <c r="AP368" s="3" t="s">
        <v>61</v>
      </c>
      <c r="AQ368" s="3" t="s">
        <v>59</v>
      </c>
      <c r="AR368" s="6" t="str">
        <f>HYPERLINK("http://catalog.hathitrust.org/Record/007884947","HathiTrust Record")</f>
        <v>HathiTrust Record</v>
      </c>
      <c r="AS368" s="6" t="str">
        <f>HYPERLINK("https://creighton-primo.hosted.exlibrisgroup.com/primo-explore/search?tab=default_tab&amp;search_scope=EVERYTHING&amp;vid=01CRU&amp;lang=en_US&amp;offset=0&amp;query=any,contains,991003559679702656","Catalog Record")</f>
        <v>Catalog Record</v>
      </c>
      <c r="AT368" s="6" t="str">
        <f>HYPERLINK("http://www.worldcat.org/oclc/1129786","WorldCat Record")</f>
        <v>WorldCat Record</v>
      </c>
      <c r="AU368" s="3" t="s">
        <v>4415</v>
      </c>
      <c r="AV368" s="3" t="s">
        <v>4416</v>
      </c>
      <c r="AW368" s="3" t="s">
        <v>4417</v>
      </c>
      <c r="AX368" s="3" t="s">
        <v>4417</v>
      </c>
      <c r="AY368" s="3" t="s">
        <v>4418</v>
      </c>
      <c r="AZ368" s="3" t="s">
        <v>75</v>
      </c>
      <c r="BC368" s="3" t="s">
        <v>4419</v>
      </c>
      <c r="BD368" s="3" t="s">
        <v>4420</v>
      </c>
    </row>
    <row r="369" spans="1:56" ht="44.25" customHeight="1" x14ac:dyDescent="0.25">
      <c r="A369" s="7" t="s">
        <v>61</v>
      </c>
      <c r="B369" s="2" t="s">
        <v>4421</v>
      </c>
      <c r="C369" s="2" t="s">
        <v>4422</v>
      </c>
      <c r="D369" s="2" t="s">
        <v>4423</v>
      </c>
      <c r="F369" s="3" t="s">
        <v>61</v>
      </c>
      <c r="G369" s="3" t="s">
        <v>60</v>
      </c>
      <c r="H369" s="3" t="s">
        <v>61</v>
      </c>
      <c r="I369" s="3" t="s">
        <v>61</v>
      </c>
      <c r="J369" s="3" t="s">
        <v>62</v>
      </c>
      <c r="K369" s="2" t="s">
        <v>4424</v>
      </c>
      <c r="L369" s="2" t="s">
        <v>4425</v>
      </c>
      <c r="M369" s="3" t="s">
        <v>249</v>
      </c>
      <c r="O369" s="3" t="s">
        <v>114</v>
      </c>
      <c r="P369" s="3" t="s">
        <v>192</v>
      </c>
      <c r="R369" s="3" t="s">
        <v>68</v>
      </c>
      <c r="S369" s="4">
        <v>2</v>
      </c>
      <c r="T369" s="4">
        <v>2</v>
      </c>
      <c r="U369" s="5" t="s">
        <v>4426</v>
      </c>
      <c r="V369" s="5" t="s">
        <v>4426</v>
      </c>
      <c r="W369" s="5" t="s">
        <v>4427</v>
      </c>
      <c r="X369" s="5" t="s">
        <v>4427</v>
      </c>
      <c r="Y369" s="4">
        <v>226</v>
      </c>
      <c r="Z369" s="4">
        <v>151</v>
      </c>
      <c r="AA369" s="4">
        <v>174</v>
      </c>
      <c r="AB369" s="4">
        <v>2</v>
      </c>
      <c r="AC369" s="4">
        <v>2</v>
      </c>
      <c r="AD369" s="4">
        <v>7</v>
      </c>
      <c r="AE369" s="4">
        <v>7</v>
      </c>
      <c r="AF369" s="4">
        <v>2</v>
      </c>
      <c r="AG369" s="4">
        <v>2</v>
      </c>
      <c r="AH369" s="4">
        <v>2</v>
      </c>
      <c r="AI369" s="4">
        <v>2</v>
      </c>
      <c r="AJ369" s="4">
        <v>4</v>
      </c>
      <c r="AK369" s="4">
        <v>4</v>
      </c>
      <c r="AL369" s="4">
        <v>1</v>
      </c>
      <c r="AM369" s="4">
        <v>1</v>
      </c>
      <c r="AN369" s="4">
        <v>0</v>
      </c>
      <c r="AO369" s="4">
        <v>0</v>
      </c>
      <c r="AP369" s="3" t="s">
        <v>61</v>
      </c>
      <c r="AQ369" s="3" t="s">
        <v>61</v>
      </c>
      <c r="AS369" s="6" t="str">
        <f>HYPERLINK("https://creighton-primo.hosted.exlibrisgroup.com/primo-explore/search?tab=default_tab&amp;search_scope=EVERYTHING&amp;vid=01CRU&amp;lang=en_US&amp;offset=0&amp;query=any,contains,991002102319702656","Catalog Record")</f>
        <v>Catalog Record</v>
      </c>
      <c r="AT369" s="6" t="str">
        <f>HYPERLINK("http://www.worldcat.org/oclc/26974911","WorldCat Record")</f>
        <v>WorldCat Record</v>
      </c>
      <c r="AU369" s="3" t="s">
        <v>4428</v>
      </c>
      <c r="AV369" s="3" t="s">
        <v>4429</v>
      </c>
      <c r="AW369" s="3" t="s">
        <v>4430</v>
      </c>
      <c r="AX369" s="3" t="s">
        <v>4430</v>
      </c>
      <c r="AY369" s="3" t="s">
        <v>4431</v>
      </c>
      <c r="AZ369" s="3" t="s">
        <v>75</v>
      </c>
      <c r="BB369" s="3" t="s">
        <v>4432</v>
      </c>
      <c r="BC369" s="3" t="s">
        <v>4433</v>
      </c>
      <c r="BD369" s="3" t="s">
        <v>4434</v>
      </c>
    </row>
    <row r="370" spans="1:56" ht="44.25" customHeight="1" x14ac:dyDescent="0.25">
      <c r="A370" s="7" t="s">
        <v>61</v>
      </c>
      <c r="B370" s="2" t="s">
        <v>4435</v>
      </c>
      <c r="C370" s="2" t="s">
        <v>4436</v>
      </c>
      <c r="D370" s="2" t="s">
        <v>4437</v>
      </c>
      <c r="F370" s="3" t="s">
        <v>61</v>
      </c>
      <c r="G370" s="3" t="s">
        <v>60</v>
      </c>
      <c r="H370" s="3" t="s">
        <v>61</v>
      </c>
      <c r="I370" s="3" t="s">
        <v>61</v>
      </c>
      <c r="J370" s="3" t="s">
        <v>62</v>
      </c>
      <c r="K370" s="2" t="s">
        <v>4438</v>
      </c>
      <c r="L370" s="2" t="s">
        <v>4439</v>
      </c>
      <c r="M370" s="3" t="s">
        <v>4440</v>
      </c>
      <c r="O370" s="3" t="s">
        <v>114</v>
      </c>
      <c r="P370" s="3" t="s">
        <v>235</v>
      </c>
      <c r="R370" s="3" t="s">
        <v>68</v>
      </c>
      <c r="S370" s="4">
        <v>1</v>
      </c>
      <c r="T370" s="4">
        <v>1</v>
      </c>
      <c r="U370" s="5" t="s">
        <v>4441</v>
      </c>
      <c r="V370" s="5" t="s">
        <v>4441</v>
      </c>
      <c r="W370" s="5" t="s">
        <v>4083</v>
      </c>
      <c r="X370" s="5" t="s">
        <v>4083</v>
      </c>
      <c r="Y370" s="4">
        <v>180</v>
      </c>
      <c r="Z370" s="4">
        <v>171</v>
      </c>
      <c r="AA370" s="4">
        <v>515</v>
      </c>
      <c r="AB370" s="4">
        <v>3</v>
      </c>
      <c r="AC370" s="4">
        <v>7</v>
      </c>
      <c r="AD370" s="4">
        <v>11</v>
      </c>
      <c r="AE370" s="4">
        <v>35</v>
      </c>
      <c r="AF370" s="4">
        <v>3</v>
      </c>
      <c r="AG370" s="4">
        <v>9</v>
      </c>
      <c r="AH370" s="4">
        <v>3</v>
      </c>
      <c r="AI370" s="4">
        <v>7</v>
      </c>
      <c r="AJ370" s="4">
        <v>2</v>
      </c>
      <c r="AK370" s="4">
        <v>13</v>
      </c>
      <c r="AL370" s="4">
        <v>2</v>
      </c>
      <c r="AM370" s="4">
        <v>5</v>
      </c>
      <c r="AN370" s="4">
        <v>2</v>
      </c>
      <c r="AO370" s="4">
        <v>7</v>
      </c>
      <c r="AP370" s="3" t="s">
        <v>59</v>
      </c>
      <c r="AQ370" s="3" t="s">
        <v>61</v>
      </c>
      <c r="AR370" s="6" t="str">
        <f>HYPERLINK("http://catalog.hathitrust.org/Record/000201413","HathiTrust Record")</f>
        <v>HathiTrust Record</v>
      </c>
      <c r="AS370" s="6" t="str">
        <f>HYPERLINK("https://creighton-primo.hosted.exlibrisgroup.com/primo-explore/search?tab=default_tab&amp;search_scope=EVERYTHING&amp;vid=01CRU&amp;lang=en_US&amp;offset=0&amp;query=any,contains,991003548579702656","Catalog Record")</f>
        <v>Catalog Record</v>
      </c>
      <c r="AT370" s="6" t="str">
        <f>HYPERLINK("http://www.worldcat.org/oclc/1115959","WorldCat Record")</f>
        <v>WorldCat Record</v>
      </c>
      <c r="AU370" s="3" t="s">
        <v>4442</v>
      </c>
      <c r="AV370" s="3" t="s">
        <v>4443</v>
      </c>
      <c r="AW370" s="3" t="s">
        <v>4444</v>
      </c>
      <c r="AX370" s="3" t="s">
        <v>4444</v>
      </c>
      <c r="AY370" s="3" t="s">
        <v>4445</v>
      </c>
      <c r="AZ370" s="3" t="s">
        <v>75</v>
      </c>
      <c r="BC370" s="3" t="s">
        <v>4446</v>
      </c>
      <c r="BD370" s="3" t="s">
        <v>4447</v>
      </c>
    </row>
    <row r="371" spans="1:56" ht="44.25" customHeight="1" x14ac:dyDescent="0.25">
      <c r="A371" s="7" t="s">
        <v>61</v>
      </c>
      <c r="B371" s="2" t="s">
        <v>4448</v>
      </c>
      <c r="C371" s="2" t="s">
        <v>4449</v>
      </c>
      <c r="D371" s="2" t="s">
        <v>4450</v>
      </c>
      <c r="F371" s="3" t="s">
        <v>61</v>
      </c>
      <c r="G371" s="3" t="s">
        <v>60</v>
      </c>
      <c r="H371" s="3" t="s">
        <v>61</v>
      </c>
      <c r="I371" s="3" t="s">
        <v>61</v>
      </c>
      <c r="J371" s="3" t="s">
        <v>62</v>
      </c>
      <c r="K371" s="2" t="s">
        <v>4451</v>
      </c>
      <c r="L371" s="2" t="s">
        <v>4452</v>
      </c>
      <c r="M371" s="3" t="s">
        <v>234</v>
      </c>
      <c r="O371" s="3" t="s">
        <v>114</v>
      </c>
      <c r="P371" s="3" t="s">
        <v>235</v>
      </c>
      <c r="R371" s="3" t="s">
        <v>68</v>
      </c>
      <c r="S371" s="4">
        <v>4</v>
      </c>
      <c r="T371" s="4">
        <v>4</v>
      </c>
      <c r="U371" s="5" t="s">
        <v>4453</v>
      </c>
      <c r="V371" s="5" t="s">
        <v>4453</v>
      </c>
      <c r="W371" s="5" t="s">
        <v>4208</v>
      </c>
      <c r="X371" s="5" t="s">
        <v>4208</v>
      </c>
      <c r="Y371" s="4">
        <v>287</v>
      </c>
      <c r="Z371" s="4">
        <v>252</v>
      </c>
      <c r="AA371" s="4">
        <v>507</v>
      </c>
      <c r="AB371" s="4">
        <v>2</v>
      </c>
      <c r="AC371" s="4">
        <v>3</v>
      </c>
      <c r="AD371" s="4">
        <v>12</v>
      </c>
      <c r="AE371" s="4">
        <v>23</v>
      </c>
      <c r="AF371" s="4">
        <v>5</v>
      </c>
      <c r="AG371" s="4">
        <v>11</v>
      </c>
      <c r="AH371" s="4">
        <v>2</v>
      </c>
      <c r="AI371" s="4">
        <v>4</v>
      </c>
      <c r="AJ371" s="4">
        <v>9</v>
      </c>
      <c r="AK371" s="4">
        <v>14</v>
      </c>
      <c r="AL371" s="4">
        <v>1</v>
      </c>
      <c r="AM371" s="4">
        <v>2</v>
      </c>
      <c r="AN371" s="4">
        <v>0</v>
      </c>
      <c r="AO371" s="4">
        <v>0</v>
      </c>
      <c r="AP371" s="3" t="s">
        <v>61</v>
      </c>
      <c r="AQ371" s="3" t="s">
        <v>61</v>
      </c>
      <c r="AS371" s="6" t="str">
        <f>HYPERLINK("https://creighton-primo.hosted.exlibrisgroup.com/primo-explore/search?tab=default_tab&amp;search_scope=EVERYTHING&amp;vid=01CRU&amp;lang=en_US&amp;offset=0&amp;query=any,contains,991000335649702656","Catalog Record")</f>
        <v>Catalog Record</v>
      </c>
      <c r="AT371" s="6" t="str">
        <f>HYPERLINK("http://www.worldcat.org/oclc/10229626","WorldCat Record")</f>
        <v>WorldCat Record</v>
      </c>
      <c r="AU371" s="3" t="s">
        <v>4454</v>
      </c>
      <c r="AV371" s="3" t="s">
        <v>4455</v>
      </c>
      <c r="AW371" s="3" t="s">
        <v>4456</v>
      </c>
      <c r="AX371" s="3" t="s">
        <v>4456</v>
      </c>
      <c r="AY371" s="3" t="s">
        <v>4457</v>
      </c>
      <c r="AZ371" s="3" t="s">
        <v>75</v>
      </c>
      <c r="BB371" s="3" t="s">
        <v>4458</v>
      </c>
      <c r="BC371" s="3" t="s">
        <v>4459</v>
      </c>
      <c r="BD371" s="3" t="s">
        <v>4460</v>
      </c>
    </row>
    <row r="372" spans="1:56" ht="44.25" customHeight="1" x14ac:dyDescent="0.25">
      <c r="A372" s="7" t="s">
        <v>61</v>
      </c>
      <c r="B372" s="2" t="s">
        <v>4461</v>
      </c>
      <c r="C372" s="2" t="s">
        <v>4462</v>
      </c>
      <c r="D372" s="2" t="s">
        <v>4463</v>
      </c>
      <c r="F372" s="3" t="s">
        <v>61</v>
      </c>
      <c r="G372" s="3" t="s">
        <v>60</v>
      </c>
      <c r="H372" s="3" t="s">
        <v>61</v>
      </c>
      <c r="I372" s="3" t="s">
        <v>61</v>
      </c>
      <c r="J372" s="3" t="s">
        <v>62</v>
      </c>
      <c r="K372" s="2" t="s">
        <v>4464</v>
      </c>
      <c r="L372" s="2" t="s">
        <v>4465</v>
      </c>
      <c r="M372" s="3" t="s">
        <v>4095</v>
      </c>
      <c r="O372" s="3" t="s">
        <v>114</v>
      </c>
      <c r="P372" s="3" t="s">
        <v>235</v>
      </c>
      <c r="Q372" s="2" t="s">
        <v>4466</v>
      </c>
      <c r="R372" s="3" t="s">
        <v>68</v>
      </c>
      <c r="S372" s="4">
        <v>4</v>
      </c>
      <c r="T372" s="4">
        <v>4</v>
      </c>
      <c r="U372" s="5" t="s">
        <v>4192</v>
      </c>
      <c r="V372" s="5" t="s">
        <v>4192</v>
      </c>
      <c r="W372" s="5" t="s">
        <v>4083</v>
      </c>
      <c r="X372" s="5" t="s">
        <v>4083</v>
      </c>
      <c r="Y372" s="4">
        <v>221</v>
      </c>
      <c r="Z372" s="4">
        <v>194</v>
      </c>
      <c r="AA372" s="4">
        <v>564</v>
      </c>
      <c r="AB372" s="4">
        <v>3</v>
      </c>
      <c r="AC372" s="4">
        <v>7</v>
      </c>
      <c r="AD372" s="4">
        <v>6</v>
      </c>
      <c r="AE372" s="4">
        <v>25</v>
      </c>
      <c r="AF372" s="4">
        <v>2</v>
      </c>
      <c r="AG372" s="4">
        <v>6</v>
      </c>
      <c r="AH372" s="4">
        <v>1</v>
      </c>
      <c r="AI372" s="4">
        <v>6</v>
      </c>
      <c r="AJ372" s="4">
        <v>1</v>
      </c>
      <c r="AK372" s="4">
        <v>6</v>
      </c>
      <c r="AL372" s="4">
        <v>2</v>
      </c>
      <c r="AM372" s="4">
        <v>4</v>
      </c>
      <c r="AN372" s="4">
        <v>0</v>
      </c>
      <c r="AO372" s="4">
        <v>5</v>
      </c>
      <c r="AP372" s="3" t="s">
        <v>59</v>
      </c>
      <c r="AQ372" s="3" t="s">
        <v>61</v>
      </c>
      <c r="AR372" s="6" t="str">
        <f>HYPERLINK("http://catalog.hathitrust.org/Record/008015213","HathiTrust Record")</f>
        <v>HathiTrust Record</v>
      </c>
      <c r="AS372" s="6" t="str">
        <f>HYPERLINK("https://creighton-primo.hosted.exlibrisgroup.com/primo-explore/search?tab=default_tab&amp;search_scope=EVERYTHING&amp;vid=01CRU&amp;lang=en_US&amp;offset=0&amp;query=any,contains,991001289769702656","Catalog Record")</f>
        <v>Catalog Record</v>
      </c>
      <c r="AT372" s="6" t="str">
        <f>HYPERLINK("http://www.worldcat.org/oclc/217732","WorldCat Record")</f>
        <v>WorldCat Record</v>
      </c>
      <c r="AU372" s="3" t="s">
        <v>4467</v>
      </c>
      <c r="AV372" s="3" t="s">
        <v>4468</v>
      </c>
      <c r="AW372" s="3" t="s">
        <v>4469</v>
      </c>
      <c r="AX372" s="3" t="s">
        <v>4469</v>
      </c>
      <c r="AY372" s="3" t="s">
        <v>4470</v>
      </c>
      <c r="AZ372" s="3" t="s">
        <v>75</v>
      </c>
      <c r="BC372" s="3" t="s">
        <v>4471</v>
      </c>
      <c r="BD372" s="3" t="s">
        <v>4472</v>
      </c>
    </row>
    <row r="373" spans="1:56" ht="44.25" customHeight="1" x14ac:dyDescent="0.25">
      <c r="A373" s="7" t="s">
        <v>61</v>
      </c>
      <c r="B373" s="2" t="s">
        <v>4473</v>
      </c>
      <c r="C373" s="2" t="s">
        <v>4474</v>
      </c>
      <c r="D373" s="2" t="s">
        <v>4475</v>
      </c>
      <c r="F373" s="3" t="s">
        <v>61</v>
      </c>
      <c r="G373" s="3" t="s">
        <v>60</v>
      </c>
      <c r="H373" s="3" t="s">
        <v>61</v>
      </c>
      <c r="I373" s="3" t="s">
        <v>61</v>
      </c>
      <c r="J373" s="3" t="s">
        <v>62</v>
      </c>
      <c r="K373" s="2" t="s">
        <v>4476</v>
      </c>
      <c r="L373" s="2" t="s">
        <v>4477</v>
      </c>
      <c r="M373" s="3" t="s">
        <v>4478</v>
      </c>
      <c r="O373" s="3" t="s">
        <v>114</v>
      </c>
      <c r="P373" s="3" t="s">
        <v>235</v>
      </c>
      <c r="Q373" s="2" t="s">
        <v>4284</v>
      </c>
      <c r="R373" s="3" t="s">
        <v>68</v>
      </c>
      <c r="S373" s="4">
        <v>1</v>
      </c>
      <c r="T373" s="4">
        <v>1</v>
      </c>
      <c r="U373" s="5" t="s">
        <v>4479</v>
      </c>
      <c r="V373" s="5" t="s">
        <v>4479</v>
      </c>
      <c r="W373" s="5" t="s">
        <v>4083</v>
      </c>
      <c r="X373" s="5" t="s">
        <v>4083</v>
      </c>
      <c r="Y373" s="4">
        <v>611</v>
      </c>
      <c r="Z373" s="4">
        <v>558</v>
      </c>
      <c r="AA373" s="4">
        <v>755</v>
      </c>
      <c r="AB373" s="4">
        <v>5</v>
      </c>
      <c r="AC373" s="4">
        <v>6</v>
      </c>
      <c r="AD373" s="4">
        <v>30</v>
      </c>
      <c r="AE373" s="4">
        <v>37</v>
      </c>
      <c r="AF373" s="4">
        <v>10</v>
      </c>
      <c r="AG373" s="4">
        <v>13</v>
      </c>
      <c r="AH373" s="4">
        <v>8</v>
      </c>
      <c r="AI373" s="4">
        <v>9</v>
      </c>
      <c r="AJ373" s="4">
        <v>15</v>
      </c>
      <c r="AK373" s="4">
        <v>19</v>
      </c>
      <c r="AL373" s="4">
        <v>4</v>
      </c>
      <c r="AM373" s="4">
        <v>5</v>
      </c>
      <c r="AN373" s="4">
        <v>0</v>
      </c>
      <c r="AO373" s="4">
        <v>0</v>
      </c>
      <c r="AP373" s="3" t="s">
        <v>61</v>
      </c>
      <c r="AQ373" s="3" t="s">
        <v>59</v>
      </c>
      <c r="AR373" s="6" t="str">
        <f>HYPERLINK("http://catalog.hathitrust.org/Record/000400380","HathiTrust Record")</f>
        <v>HathiTrust Record</v>
      </c>
      <c r="AS373" s="6" t="str">
        <f>HYPERLINK("https://creighton-primo.hosted.exlibrisgroup.com/primo-explore/search?tab=default_tab&amp;search_scope=EVERYTHING&amp;vid=01CRU&amp;lang=en_US&amp;offset=0&amp;query=any,contains,991003355979702656","Catalog Record")</f>
        <v>Catalog Record</v>
      </c>
      <c r="AT373" s="6" t="str">
        <f>HYPERLINK("http://www.worldcat.org/oclc/889381","WorldCat Record")</f>
        <v>WorldCat Record</v>
      </c>
      <c r="AU373" s="3" t="s">
        <v>4480</v>
      </c>
      <c r="AV373" s="3" t="s">
        <v>4481</v>
      </c>
      <c r="AW373" s="3" t="s">
        <v>4482</v>
      </c>
      <c r="AX373" s="3" t="s">
        <v>4482</v>
      </c>
      <c r="AY373" s="3" t="s">
        <v>4483</v>
      </c>
      <c r="AZ373" s="3" t="s">
        <v>75</v>
      </c>
      <c r="BC373" s="3" t="s">
        <v>4484</v>
      </c>
      <c r="BD373" s="3" t="s">
        <v>4485</v>
      </c>
    </row>
    <row r="374" spans="1:56" ht="44.25" customHeight="1" x14ac:dyDescent="0.25">
      <c r="A374" s="7" t="s">
        <v>61</v>
      </c>
      <c r="B374" s="2" t="s">
        <v>4486</v>
      </c>
      <c r="C374" s="2" t="s">
        <v>4487</v>
      </c>
      <c r="D374" s="2" t="s">
        <v>4488</v>
      </c>
      <c r="F374" s="3" t="s">
        <v>61</v>
      </c>
      <c r="G374" s="3" t="s">
        <v>60</v>
      </c>
      <c r="H374" s="3" t="s">
        <v>61</v>
      </c>
      <c r="I374" s="3" t="s">
        <v>61</v>
      </c>
      <c r="J374" s="3" t="s">
        <v>62</v>
      </c>
      <c r="K374" s="2" t="s">
        <v>4489</v>
      </c>
      <c r="L374" s="2" t="s">
        <v>4490</v>
      </c>
      <c r="M374" s="3" t="s">
        <v>305</v>
      </c>
      <c r="O374" s="3" t="s">
        <v>1715</v>
      </c>
      <c r="P374" s="3" t="s">
        <v>1716</v>
      </c>
      <c r="R374" s="3" t="s">
        <v>68</v>
      </c>
      <c r="S374" s="4">
        <v>1</v>
      </c>
      <c r="T374" s="4">
        <v>1</v>
      </c>
      <c r="U374" s="5" t="s">
        <v>3617</v>
      </c>
      <c r="V374" s="5" t="s">
        <v>3617</v>
      </c>
      <c r="W374" s="5" t="s">
        <v>3618</v>
      </c>
      <c r="X374" s="5" t="s">
        <v>3618</v>
      </c>
      <c r="Y374" s="4">
        <v>139</v>
      </c>
      <c r="Z374" s="4">
        <v>68</v>
      </c>
      <c r="AA374" s="4">
        <v>75</v>
      </c>
      <c r="AB374" s="4">
        <v>2</v>
      </c>
      <c r="AC374" s="4">
        <v>2</v>
      </c>
      <c r="AD374" s="4">
        <v>6</v>
      </c>
      <c r="AE374" s="4">
        <v>6</v>
      </c>
      <c r="AF374" s="4">
        <v>0</v>
      </c>
      <c r="AG374" s="4">
        <v>0</v>
      </c>
      <c r="AH374" s="4">
        <v>3</v>
      </c>
      <c r="AI374" s="4">
        <v>3</v>
      </c>
      <c r="AJ374" s="4">
        <v>3</v>
      </c>
      <c r="AK374" s="4">
        <v>3</v>
      </c>
      <c r="AL374" s="4">
        <v>1</v>
      </c>
      <c r="AM374" s="4">
        <v>1</v>
      </c>
      <c r="AN374" s="4">
        <v>0</v>
      </c>
      <c r="AO374" s="4">
        <v>0</v>
      </c>
      <c r="AP374" s="3" t="s">
        <v>61</v>
      </c>
      <c r="AQ374" s="3" t="s">
        <v>59</v>
      </c>
      <c r="AR374" s="6" t="str">
        <f>HYPERLINK("http://catalog.hathitrust.org/Record/000399654","HathiTrust Record")</f>
        <v>HathiTrust Record</v>
      </c>
      <c r="AS374" s="6" t="str">
        <f>HYPERLINK("https://creighton-primo.hosted.exlibrisgroup.com/primo-explore/search?tab=default_tab&amp;search_scope=EVERYTHING&amp;vid=01CRU&amp;lang=en_US&amp;offset=0&amp;query=any,contains,991003601059702656","Catalog Record")</f>
        <v>Catalog Record</v>
      </c>
      <c r="AT374" s="6" t="str">
        <f>HYPERLINK("http://www.worldcat.org/oclc/1122736","WorldCat Record")</f>
        <v>WorldCat Record</v>
      </c>
      <c r="AU374" s="3" t="s">
        <v>4491</v>
      </c>
      <c r="AV374" s="3" t="s">
        <v>4492</v>
      </c>
      <c r="AW374" s="3" t="s">
        <v>4493</v>
      </c>
      <c r="AX374" s="3" t="s">
        <v>4493</v>
      </c>
      <c r="AY374" s="3" t="s">
        <v>4494</v>
      </c>
      <c r="AZ374" s="3" t="s">
        <v>75</v>
      </c>
      <c r="BC374" s="3" t="s">
        <v>4495</v>
      </c>
      <c r="BD374" s="3" t="s">
        <v>4496</v>
      </c>
    </row>
    <row r="375" spans="1:56" ht="44.25" customHeight="1" x14ac:dyDescent="0.25">
      <c r="A375" s="7" t="s">
        <v>61</v>
      </c>
      <c r="B375" s="2" t="s">
        <v>4497</v>
      </c>
      <c r="C375" s="2" t="s">
        <v>4498</v>
      </c>
      <c r="D375" s="2" t="s">
        <v>4499</v>
      </c>
      <c r="F375" s="3" t="s">
        <v>61</v>
      </c>
      <c r="G375" s="3" t="s">
        <v>60</v>
      </c>
      <c r="H375" s="3" t="s">
        <v>61</v>
      </c>
      <c r="I375" s="3" t="s">
        <v>61</v>
      </c>
      <c r="J375" s="3" t="s">
        <v>62</v>
      </c>
      <c r="K375" s="2" t="s">
        <v>4500</v>
      </c>
      <c r="L375" s="2" t="s">
        <v>4501</v>
      </c>
      <c r="M375" s="3" t="s">
        <v>770</v>
      </c>
      <c r="O375" s="3" t="s">
        <v>114</v>
      </c>
      <c r="P375" s="3" t="s">
        <v>649</v>
      </c>
      <c r="R375" s="3" t="s">
        <v>68</v>
      </c>
      <c r="S375" s="4">
        <v>2</v>
      </c>
      <c r="T375" s="4">
        <v>2</v>
      </c>
      <c r="U375" s="5" t="s">
        <v>4502</v>
      </c>
      <c r="V375" s="5" t="s">
        <v>4502</v>
      </c>
      <c r="W375" s="5" t="s">
        <v>2570</v>
      </c>
      <c r="X375" s="5" t="s">
        <v>2570</v>
      </c>
      <c r="Y375" s="4">
        <v>91</v>
      </c>
      <c r="Z375" s="4">
        <v>81</v>
      </c>
      <c r="AA375" s="4">
        <v>489</v>
      </c>
      <c r="AB375" s="4">
        <v>2</v>
      </c>
      <c r="AC375" s="4">
        <v>6</v>
      </c>
      <c r="AD375" s="4">
        <v>4</v>
      </c>
      <c r="AE375" s="4">
        <v>21</v>
      </c>
      <c r="AF375" s="4">
        <v>0</v>
      </c>
      <c r="AG375" s="4">
        <v>8</v>
      </c>
      <c r="AH375" s="4">
        <v>2</v>
      </c>
      <c r="AI375" s="4">
        <v>4</v>
      </c>
      <c r="AJ375" s="4">
        <v>2</v>
      </c>
      <c r="AK375" s="4">
        <v>9</v>
      </c>
      <c r="AL375" s="4">
        <v>1</v>
      </c>
      <c r="AM375" s="4">
        <v>4</v>
      </c>
      <c r="AN375" s="4">
        <v>0</v>
      </c>
      <c r="AO375" s="4">
        <v>0</v>
      </c>
      <c r="AP375" s="3" t="s">
        <v>61</v>
      </c>
      <c r="AQ375" s="3" t="s">
        <v>61</v>
      </c>
      <c r="AS375" s="6" t="str">
        <f>HYPERLINK("https://creighton-primo.hosted.exlibrisgroup.com/primo-explore/search?tab=default_tab&amp;search_scope=EVERYTHING&amp;vid=01CRU&amp;lang=en_US&amp;offset=0&amp;query=any,contains,991003729689702656","Catalog Record")</f>
        <v>Catalog Record</v>
      </c>
      <c r="AT375" s="6" t="str">
        <f>HYPERLINK("http://www.worldcat.org/oclc/1380127","WorldCat Record")</f>
        <v>WorldCat Record</v>
      </c>
      <c r="AU375" s="3" t="s">
        <v>4503</v>
      </c>
      <c r="AV375" s="3" t="s">
        <v>4504</v>
      </c>
      <c r="AW375" s="3" t="s">
        <v>4505</v>
      </c>
      <c r="AX375" s="3" t="s">
        <v>4505</v>
      </c>
      <c r="AY375" s="3" t="s">
        <v>4506</v>
      </c>
      <c r="AZ375" s="3" t="s">
        <v>75</v>
      </c>
      <c r="BB375" s="3" t="s">
        <v>4507</v>
      </c>
      <c r="BC375" s="3" t="s">
        <v>4508</v>
      </c>
      <c r="BD375" s="3" t="s">
        <v>4509</v>
      </c>
    </row>
    <row r="376" spans="1:56" ht="44.25" customHeight="1" x14ac:dyDescent="0.25">
      <c r="A376" s="7" t="s">
        <v>61</v>
      </c>
      <c r="B376" s="2" t="s">
        <v>4510</v>
      </c>
      <c r="C376" s="2" t="s">
        <v>4511</v>
      </c>
      <c r="D376" s="2" t="s">
        <v>4512</v>
      </c>
      <c r="F376" s="3" t="s">
        <v>61</v>
      </c>
      <c r="G376" s="3" t="s">
        <v>60</v>
      </c>
      <c r="H376" s="3" t="s">
        <v>61</v>
      </c>
      <c r="I376" s="3" t="s">
        <v>61</v>
      </c>
      <c r="J376" s="3" t="s">
        <v>62</v>
      </c>
      <c r="K376" s="2" t="s">
        <v>3991</v>
      </c>
      <c r="L376" s="2" t="s">
        <v>3992</v>
      </c>
      <c r="M376" s="3" t="s">
        <v>3279</v>
      </c>
      <c r="O376" s="3" t="s">
        <v>114</v>
      </c>
      <c r="P376" s="3" t="s">
        <v>115</v>
      </c>
      <c r="Q376" s="2" t="s">
        <v>4513</v>
      </c>
      <c r="R376" s="3" t="s">
        <v>68</v>
      </c>
      <c r="S376" s="4">
        <v>1</v>
      </c>
      <c r="T376" s="4">
        <v>1</v>
      </c>
      <c r="U376" s="5" t="s">
        <v>4514</v>
      </c>
      <c r="V376" s="5" t="s">
        <v>4514</v>
      </c>
      <c r="W376" s="5" t="s">
        <v>2570</v>
      </c>
      <c r="X376" s="5" t="s">
        <v>2570</v>
      </c>
      <c r="Y376" s="4">
        <v>220</v>
      </c>
      <c r="Z376" s="4">
        <v>190</v>
      </c>
      <c r="AA376" s="4">
        <v>233</v>
      </c>
      <c r="AB376" s="4">
        <v>5</v>
      </c>
      <c r="AC376" s="4">
        <v>5</v>
      </c>
      <c r="AD376" s="4">
        <v>20</v>
      </c>
      <c r="AE376" s="4">
        <v>22</v>
      </c>
      <c r="AF376" s="4">
        <v>5</v>
      </c>
      <c r="AG376" s="4">
        <v>6</v>
      </c>
      <c r="AH376" s="4">
        <v>6</v>
      </c>
      <c r="AI376" s="4">
        <v>6</v>
      </c>
      <c r="AJ376" s="4">
        <v>9</v>
      </c>
      <c r="AK376" s="4">
        <v>10</v>
      </c>
      <c r="AL376" s="4">
        <v>4</v>
      </c>
      <c r="AM376" s="4">
        <v>4</v>
      </c>
      <c r="AN376" s="4">
        <v>0</v>
      </c>
      <c r="AO376" s="4">
        <v>0</v>
      </c>
      <c r="AP376" s="3" t="s">
        <v>61</v>
      </c>
      <c r="AQ376" s="3" t="s">
        <v>61</v>
      </c>
      <c r="AS376" s="6" t="str">
        <f>HYPERLINK("https://creighton-primo.hosted.exlibrisgroup.com/primo-explore/search?tab=default_tab&amp;search_scope=EVERYTHING&amp;vid=01CRU&amp;lang=en_US&amp;offset=0&amp;query=any,contains,991002207779702656","Catalog Record")</f>
        <v>Catalog Record</v>
      </c>
      <c r="AT376" s="6" t="str">
        <f>HYPERLINK("http://www.worldcat.org/oclc/286666","WorldCat Record")</f>
        <v>WorldCat Record</v>
      </c>
      <c r="AU376" s="3" t="s">
        <v>4515</v>
      </c>
      <c r="AV376" s="3" t="s">
        <v>4516</v>
      </c>
      <c r="AW376" s="3" t="s">
        <v>4517</v>
      </c>
      <c r="AX376" s="3" t="s">
        <v>4517</v>
      </c>
      <c r="AY376" s="3" t="s">
        <v>4518</v>
      </c>
      <c r="AZ376" s="3" t="s">
        <v>75</v>
      </c>
      <c r="BC376" s="3" t="s">
        <v>4519</v>
      </c>
      <c r="BD376" s="3" t="s">
        <v>4520</v>
      </c>
    </row>
    <row r="377" spans="1:56" ht="44.25" customHeight="1" x14ac:dyDescent="0.25">
      <c r="A377" s="7" t="s">
        <v>61</v>
      </c>
      <c r="B377" s="2" t="s">
        <v>4521</v>
      </c>
      <c r="C377" s="2" t="s">
        <v>4522</v>
      </c>
      <c r="D377" s="2" t="s">
        <v>4523</v>
      </c>
      <c r="F377" s="3" t="s">
        <v>61</v>
      </c>
      <c r="G377" s="3" t="s">
        <v>60</v>
      </c>
      <c r="H377" s="3" t="s">
        <v>61</v>
      </c>
      <c r="I377" s="3" t="s">
        <v>61</v>
      </c>
      <c r="J377" s="3" t="s">
        <v>62</v>
      </c>
      <c r="K377" s="2" t="s">
        <v>4524</v>
      </c>
      <c r="L377" s="2" t="s">
        <v>4525</v>
      </c>
      <c r="M377" s="3" t="s">
        <v>4526</v>
      </c>
      <c r="O377" s="3" t="s">
        <v>114</v>
      </c>
      <c r="P377" s="3" t="s">
        <v>235</v>
      </c>
      <c r="R377" s="3" t="s">
        <v>68</v>
      </c>
      <c r="S377" s="4">
        <v>3</v>
      </c>
      <c r="T377" s="4">
        <v>3</v>
      </c>
      <c r="U377" s="5" t="s">
        <v>4527</v>
      </c>
      <c r="V377" s="5" t="s">
        <v>4527</v>
      </c>
      <c r="W377" s="5" t="s">
        <v>2570</v>
      </c>
      <c r="X377" s="5" t="s">
        <v>2570</v>
      </c>
      <c r="Y377" s="4">
        <v>486</v>
      </c>
      <c r="Z377" s="4">
        <v>472</v>
      </c>
      <c r="AA377" s="4">
        <v>1093</v>
      </c>
      <c r="AB377" s="4">
        <v>2</v>
      </c>
      <c r="AC377" s="4">
        <v>7</v>
      </c>
      <c r="AD377" s="4">
        <v>15</v>
      </c>
      <c r="AE377" s="4">
        <v>43</v>
      </c>
      <c r="AF377" s="4">
        <v>4</v>
      </c>
      <c r="AG377" s="4">
        <v>19</v>
      </c>
      <c r="AH377" s="4">
        <v>4</v>
      </c>
      <c r="AI377" s="4">
        <v>6</v>
      </c>
      <c r="AJ377" s="4">
        <v>11</v>
      </c>
      <c r="AK377" s="4">
        <v>22</v>
      </c>
      <c r="AL377" s="4">
        <v>1</v>
      </c>
      <c r="AM377" s="4">
        <v>5</v>
      </c>
      <c r="AN377" s="4">
        <v>0</v>
      </c>
      <c r="AO377" s="4">
        <v>0</v>
      </c>
      <c r="AP377" s="3" t="s">
        <v>61</v>
      </c>
      <c r="AQ377" s="3" t="s">
        <v>59</v>
      </c>
      <c r="AR377" s="6" t="str">
        <f>HYPERLINK("http://catalog.hathitrust.org/Record/000400094","HathiTrust Record")</f>
        <v>HathiTrust Record</v>
      </c>
      <c r="AS377" s="6" t="str">
        <f>HYPERLINK("https://creighton-primo.hosted.exlibrisgroup.com/primo-explore/search?tab=default_tab&amp;search_scope=EVERYTHING&amp;vid=01CRU&amp;lang=en_US&amp;offset=0&amp;query=any,contains,991003535259702656","Catalog Record")</f>
        <v>Catalog Record</v>
      </c>
      <c r="AT377" s="6" t="str">
        <f>HYPERLINK("http://www.worldcat.org/oclc/1099463","WorldCat Record")</f>
        <v>WorldCat Record</v>
      </c>
      <c r="AU377" s="3" t="s">
        <v>4528</v>
      </c>
      <c r="AV377" s="3" t="s">
        <v>4529</v>
      </c>
      <c r="AW377" s="3" t="s">
        <v>4530</v>
      </c>
      <c r="AX377" s="3" t="s">
        <v>4530</v>
      </c>
      <c r="AY377" s="3" t="s">
        <v>4531</v>
      </c>
      <c r="AZ377" s="3" t="s">
        <v>75</v>
      </c>
      <c r="BC377" s="3" t="s">
        <v>4532</v>
      </c>
      <c r="BD377" s="3" t="s">
        <v>4533</v>
      </c>
    </row>
    <row r="378" spans="1:56" ht="44.25" customHeight="1" x14ac:dyDescent="0.25">
      <c r="A378" s="7" t="s">
        <v>61</v>
      </c>
      <c r="B378" s="2" t="s">
        <v>4534</v>
      </c>
      <c r="C378" s="2" t="s">
        <v>4535</v>
      </c>
      <c r="D378" s="2" t="s">
        <v>4536</v>
      </c>
      <c r="F378" s="3" t="s">
        <v>61</v>
      </c>
      <c r="G378" s="3" t="s">
        <v>60</v>
      </c>
      <c r="H378" s="3" t="s">
        <v>61</v>
      </c>
      <c r="I378" s="3" t="s">
        <v>61</v>
      </c>
      <c r="J378" s="3" t="s">
        <v>62</v>
      </c>
      <c r="K378" s="2" t="s">
        <v>4537</v>
      </c>
      <c r="L378" s="2" t="s">
        <v>4538</v>
      </c>
      <c r="M378" s="3" t="s">
        <v>3365</v>
      </c>
      <c r="O378" s="3" t="s">
        <v>114</v>
      </c>
      <c r="P378" s="3" t="s">
        <v>235</v>
      </c>
      <c r="R378" s="3" t="s">
        <v>68</v>
      </c>
      <c r="S378" s="4">
        <v>3</v>
      </c>
      <c r="T378" s="4">
        <v>3</v>
      </c>
      <c r="U378" s="5" t="s">
        <v>4539</v>
      </c>
      <c r="V378" s="5" t="s">
        <v>4539</v>
      </c>
      <c r="W378" s="5" t="s">
        <v>2570</v>
      </c>
      <c r="X378" s="5" t="s">
        <v>2570</v>
      </c>
      <c r="Y378" s="4">
        <v>1006</v>
      </c>
      <c r="Z378" s="4">
        <v>915</v>
      </c>
      <c r="AA378" s="4">
        <v>952</v>
      </c>
      <c r="AB378" s="4">
        <v>7</v>
      </c>
      <c r="AC378" s="4">
        <v>7</v>
      </c>
      <c r="AD378" s="4">
        <v>44</v>
      </c>
      <c r="AE378" s="4">
        <v>46</v>
      </c>
      <c r="AF378" s="4">
        <v>19</v>
      </c>
      <c r="AG378" s="4">
        <v>20</v>
      </c>
      <c r="AH378" s="4">
        <v>10</v>
      </c>
      <c r="AI378" s="4">
        <v>10</v>
      </c>
      <c r="AJ378" s="4">
        <v>20</v>
      </c>
      <c r="AK378" s="4">
        <v>21</v>
      </c>
      <c r="AL378" s="4">
        <v>6</v>
      </c>
      <c r="AM378" s="4">
        <v>6</v>
      </c>
      <c r="AN378" s="4">
        <v>1</v>
      </c>
      <c r="AO378" s="4">
        <v>1</v>
      </c>
      <c r="AP378" s="3" t="s">
        <v>61</v>
      </c>
      <c r="AQ378" s="3" t="s">
        <v>59</v>
      </c>
      <c r="AR378" s="6" t="str">
        <f>HYPERLINK("http://catalog.hathitrust.org/Record/000458750","HathiTrust Record")</f>
        <v>HathiTrust Record</v>
      </c>
      <c r="AS378" s="6" t="str">
        <f>HYPERLINK("https://creighton-primo.hosted.exlibrisgroup.com/primo-explore/search?tab=default_tab&amp;search_scope=EVERYTHING&amp;vid=01CRU&amp;lang=en_US&amp;offset=0&amp;query=any,contains,991002670949702656","Catalog Record")</f>
        <v>Catalog Record</v>
      </c>
      <c r="AT378" s="6" t="str">
        <f>HYPERLINK("http://www.worldcat.org/oclc/395068","WorldCat Record")</f>
        <v>WorldCat Record</v>
      </c>
      <c r="AU378" s="3" t="s">
        <v>4540</v>
      </c>
      <c r="AV378" s="3" t="s">
        <v>4541</v>
      </c>
      <c r="AW378" s="3" t="s">
        <v>4542</v>
      </c>
      <c r="AX378" s="3" t="s">
        <v>4542</v>
      </c>
      <c r="AY378" s="3" t="s">
        <v>4543</v>
      </c>
      <c r="AZ378" s="3" t="s">
        <v>75</v>
      </c>
      <c r="BC378" s="3" t="s">
        <v>4544</v>
      </c>
      <c r="BD378" s="3" t="s">
        <v>4545</v>
      </c>
    </row>
    <row r="379" spans="1:56" ht="44.25" customHeight="1" x14ac:dyDescent="0.25">
      <c r="A379" s="7" t="s">
        <v>61</v>
      </c>
      <c r="B379" s="2" t="s">
        <v>4546</v>
      </c>
      <c r="C379" s="2" t="s">
        <v>4547</v>
      </c>
      <c r="D379" s="2" t="s">
        <v>4548</v>
      </c>
      <c r="F379" s="3" t="s">
        <v>61</v>
      </c>
      <c r="G379" s="3" t="s">
        <v>60</v>
      </c>
      <c r="H379" s="3" t="s">
        <v>61</v>
      </c>
      <c r="I379" s="3" t="s">
        <v>61</v>
      </c>
      <c r="J379" s="3" t="s">
        <v>62</v>
      </c>
      <c r="K379" s="2" t="s">
        <v>4549</v>
      </c>
      <c r="L379" s="2" t="s">
        <v>4550</v>
      </c>
      <c r="M379" s="3" t="s">
        <v>1744</v>
      </c>
      <c r="N379" s="2" t="s">
        <v>306</v>
      </c>
      <c r="O379" s="3" t="s">
        <v>114</v>
      </c>
      <c r="P379" s="3" t="s">
        <v>235</v>
      </c>
      <c r="R379" s="3" t="s">
        <v>68</v>
      </c>
      <c r="S379" s="4">
        <v>2</v>
      </c>
      <c r="T379" s="4">
        <v>2</v>
      </c>
      <c r="U379" s="5" t="s">
        <v>4551</v>
      </c>
      <c r="V379" s="5" t="s">
        <v>4551</v>
      </c>
      <c r="W379" s="5" t="s">
        <v>2570</v>
      </c>
      <c r="X379" s="5" t="s">
        <v>2570</v>
      </c>
      <c r="Y379" s="4">
        <v>470</v>
      </c>
      <c r="Z379" s="4">
        <v>452</v>
      </c>
      <c r="AA379" s="4">
        <v>461</v>
      </c>
      <c r="AB379" s="4">
        <v>4</v>
      </c>
      <c r="AC379" s="4">
        <v>4</v>
      </c>
      <c r="AD379" s="4">
        <v>13</v>
      </c>
      <c r="AE379" s="4">
        <v>13</v>
      </c>
      <c r="AF379" s="4">
        <v>3</v>
      </c>
      <c r="AG379" s="4">
        <v>3</v>
      </c>
      <c r="AH379" s="4">
        <v>3</v>
      </c>
      <c r="AI379" s="4">
        <v>3</v>
      </c>
      <c r="AJ379" s="4">
        <v>7</v>
      </c>
      <c r="AK379" s="4">
        <v>7</v>
      </c>
      <c r="AL379" s="4">
        <v>3</v>
      </c>
      <c r="AM379" s="4">
        <v>3</v>
      </c>
      <c r="AN379" s="4">
        <v>0</v>
      </c>
      <c r="AO379" s="4">
        <v>0</v>
      </c>
      <c r="AP379" s="3" t="s">
        <v>61</v>
      </c>
      <c r="AQ379" s="3" t="s">
        <v>59</v>
      </c>
      <c r="AR379" s="6" t="str">
        <f>HYPERLINK("http://catalog.hathitrust.org/Record/000399987","HathiTrust Record")</f>
        <v>HathiTrust Record</v>
      </c>
      <c r="AS379" s="6" t="str">
        <f>HYPERLINK("https://creighton-primo.hosted.exlibrisgroup.com/primo-explore/search?tab=default_tab&amp;search_scope=EVERYTHING&amp;vid=01CRU&amp;lang=en_US&amp;offset=0&amp;query=any,contains,991002672029702656","Catalog Record")</f>
        <v>Catalog Record</v>
      </c>
      <c r="AT379" s="6" t="str">
        <f>HYPERLINK("http://www.worldcat.org/oclc/395594","WorldCat Record")</f>
        <v>WorldCat Record</v>
      </c>
      <c r="AU379" s="3" t="s">
        <v>4552</v>
      </c>
      <c r="AV379" s="3" t="s">
        <v>4553</v>
      </c>
      <c r="AW379" s="3" t="s">
        <v>4554</v>
      </c>
      <c r="AX379" s="3" t="s">
        <v>4554</v>
      </c>
      <c r="AY379" s="3" t="s">
        <v>4555</v>
      </c>
      <c r="AZ379" s="3" t="s">
        <v>75</v>
      </c>
      <c r="BC379" s="3" t="s">
        <v>4556</v>
      </c>
      <c r="BD379" s="3" t="s">
        <v>4557</v>
      </c>
    </row>
    <row r="380" spans="1:56" ht="44.25" customHeight="1" x14ac:dyDescent="0.25">
      <c r="A380" s="7" t="s">
        <v>61</v>
      </c>
      <c r="B380" s="2" t="s">
        <v>4558</v>
      </c>
      <c r="C380" s="2" t="s">
        <v>4559</v>
      </c>
      <c r="D380" s="2" t="s">
        <v>4560</v>
      </c>
      <c r="F380" s="3" t="s">
        <v>61</v>
      </c>
      <c r="G380" s="3" t="s">
        <v>60</v>
      </c>
      <c r="H380" s="3" t="s">
        <v>61</v>
      </c>
      <c r="I380" s="3" t="s">
        <v>61</v>
      </c>
      <c r="J380" s="3" t="s">
        <v>62</v>
      </c>
      <c r="L380" s="2" t="s">
        <v>4561</v>
      </c>
      <c r="M380" s="3" t="s">
        <v>407</v>
      </c>
      <c r="O380" s="3" t="s">
        <v>114</v>
      </c>
      <c r="P380" s="3" t="s">
        <v>619</v>
      </c>
      <c r="R380" s="3" t="s">
        <v>68</v>
      </c>
      <c r="S380" s="4">
        <v>1</v>
      </c>
      <c r="T380" s="4">
        <v>1</v>
      </c>
      <c r="U380" s="5" t="s">
        <v>4562</v>
      </c>
      <c r="V380" s="5" t="s">
        <v>4562</v>
      </c>
      <c r="W380" s="5" t="s">
        <v>4563</v>
      </c>
      <c r="X380" s="5" t="s">
        <v>4563</v>
      </c>
      <c r="Y380" s="4">
        <v>378</v>
      </c>
      <c r="Z380" s="4">
        <v>355</v>
      </c>
      <c r="AA380" s="4">
        <v>360</v>
      </c>
      <c r="AB380" s="4">
        <v>3</v>
      </c>
      <c r="AC380" s="4">
        <v>3</v>
      </c>
      <c r="AD380" s="4">
        <v>22</v>
      </c>
      <c r="AE380" s="4">
        <v>22</v>
      </c>
      <c r="AF380" s="4">
        <v>7</v>
      </c>
      <c r="AG380" s="4">
        <v>7</v>
      </c>
      <c r="AH380" s="4">
        <v>5</v>
      </c>
      <c r="AI380" s="4">
        <v>5</v>
      </c>
      <c r="AJ380" s="4">
        <v>11</v>
      </c>
      <c r="AK380" s="4">
        <v>11</v>
      </c>
      <c r="AL380" s="4">
        <v>2</v>
      </c>
      <c r="AM380" s="4">
        <v>2</v>
      </c>
      <c r="AN380" s="4">
        <v>2</v>
      </c>
      <c r="AO380" s="4">
        <v>2</v>
      </c>
      <c r="AP380" s="3" t="s">
        <v>61</v>
      </c>
      <c r="AQ380" s="3" t="s">
        <v>59</v>
      </c>
      <c r="AR380" s="6" t="str">
        <f>HYPERLINK("http://catalog.hathitrust.org/Record/004262860","HathiTrust Record")</f>
        <v>HathiTrust Record</v>
      </c>
      <c r="AS380" s="6" t="str">
        <f>HYPERLINK("https://creighton-primo.hosted.exlibrisgroup.com/primo-explore/search?tab=default_tab&amp;search_scope=EVERYTHING&amp;vid=01CRU&amp;lang=en_US&amp;offset=0&amp;query=any,contains,991003817679702656","Catalog Record")</f>
        <v>Catalog Record</v>
      </c>
      <c r="AT380" s="6" t="str">
        <f>HYPERLINK("http://www.worldcat.org/oclc/31815279","WorldCat Record")</f>
        <v>WorldCat Record</v>
      </c>
      <c r="AU380" s="3" t="s">
        <v>4564</v>
      </c>
      <c r="AV380" s="3" t="s">
        <v>4565</v>
      </c>
      <c r="AW380" s="3" t="s">
        <v>4566</v>
      </c>
      <c r="AX380" s="3" t="s">
        <v>4566</v>
      </c>
      <c r="AY380" s="3" t="s">
        <v>4567</v>
      </c>
      <c r="AZ380" s="3" t="s">
        <v>75</v>
      </c>
      <c r="BB380" s="3" t="s">
        <v>4568</v>
      </c>
      <c r="BC380" s="3" t="s">
        <v>4569</v>
      </c>
      <c r="BD380" s="3" t="s">
        <v>4570</v>
      </c>
    </row>
    <row r="381" spans="1:56" ht="44.25" customHeight="1" x14ac:dyDescent="0.25">
      <c r="A381" s="7" t="s">
        <v>61</v>
      </c>
      <c r="B381" s="2" t="s">
        <v>4571</v>
      </c>
      <c r="C381" s="2" t="s">
        <v>4572</v>
      </c>
      <c r="D381" s="2" t="s">
        <v>4573</v>
      </c>
      <c r="F381" s="3" t="s">
        <v>61</v>
      </c>
      <c r="G381" s="3" t="s">
        <v>60</v>
      </c>
      <c r="H381" s="3" t="s">
        <v>61</v>
      </c>
      <c r="I381" s="3" t="s">
        <v>61</v>
      </c>
      <c r="J381" s="3" t="s">
        <v>62</v>
      </c>
      <c r="K381" s="2" t="s">
        <v>4574</v>
      </c>
      <c r="L381" s="2" t="s">
        <v>4575</v>
      </c>
      <c r="M381" s="3" t="s">
        <v>334</v>
      </c>
      <c r="O381" s="3" t="s">
        <v>114</v>
      </c>
      <c r="P381" s="3" t="s">
        <v>1114</v>
      </c>
      <c r="R381" s="3" t="s">
        <v>68</v>
      </c>
      <c r="S381" s="4">
        <v>5</v>
      </c>
      <c r="T381" s="4">
        <v>5</v>
      </c>
      <c r="U381" s="5" t="s">
        <v>4576</v>
      </c>
      <c r="V381" s="5" t="s">
        <v>4576</v>
      </c>
      <c r="W381" s="5" t="s">
        <v>4208</v>
      </c>
      <c r="X381" s="5" t="s">
        <v>4208</v>
      </c>
      <c r="Y381" s="4">
        <v>121</v>
      </c>
      <c r="Z381" s="4">
        <v>75</v>
      </c>
      <c r="AA381" s="4">
        <v>161</v>
      </c>
      <c r="AB381" s="4">
        <v>2</v>
      </c>
      <c r="AC381" s="4">
        <v>2</v>
      </c>
      <c r="AD381" s="4">
        <v>3</v>
      </c>
      <c r="AE381" s="4">
        <v>5</v>
      </c>
      <c r="AF381" s="4">
        <v>0</v>
      </c>
      <c r="AG381" s="4">
        <v>1</v>
      </c>
      <c r="AH381" s="4">
        <v>1</v>
      </c>
      <c r="AI381" s="4">
        <v>2</v>
      </c>
      <c r="AJ381" s="4">
        <v>1</v>
      </c>
      <c r="AK381" s="4">
        <v>2</v>
      </c>
      <c r="AL381" s="4">
        <v>1</v>
      </c>
      <c r="AM381" s="4">
        <v>1</v>
      </c>
      <c r="AN381" s="4">
        <v>0</v>
      </c>
      <c r="AO381" s="4">
        <v>0</v>
      </c>
      <c r="AP381" s="3" t="s">
        <v>61</v>
      </c>
      <c r="AQ381" s="3" t="s">
        <v>61</v>
      </c>
      <c r="AS381" s="6" t="str">
        <f>HYPERLINK("https://creighton-primo.hosted.exlibrisgroup.com/primo-explore/search?tab=default_tab&amp;search_scope=EVERYTHING&amp;vid=01CRU&amp;lang=en_US&amp;offset=0&amp;query=any,contains,991001079939702656","Catalog Record")</f>
        <v>Catalog Record</v>
      </c>
      <c r="AT381" s="6" t="str">
        <f>HYPERLINK("http://www.worldcat.org/oclc/16085074","WorldCat Record")</f>
        <v>WorldCat Record</v>
      </c>
      <c r="AU381" s="3" t="s">
        <v>4577</v>
      </c>
      <c r="AV381" s="3" t="s">
        <v>4578</v>
      </c>
      <c r="AW381" s="3" t="s">
        <v>4579</v>
      </c>
      <c r="AX381" s="3" t="s">
        <v>4579</v>
      </c>
      <c r="AY381" s="3" t="s">
        <v>4580</v>
      </c>
      <c r="AZ381" s="3" t="s">
        <v>75</v>
      </c>
      <c r="BB381" s="3" t="s">
        <v>4581</v>
      </c>
      <c r="BC381" s="3" t="s">
        <v>4582</v>
      </c>
      <c r="BD381" s="3" t="s">
        <v>4583</v>
      </c>
    </row>
    <row r="382" spans="1:56" ht="44.25" customHeight="1" x14ac:dyDescent="0.25">
      <c r="A382" s="7" t="s">
        <v>61</v>
      </c>
      <c r="B382" s="2" t="s">
        <v>4584</v>
      </c>
      <c r="C382" s="2" t="s">
        <v>4585</v>
      </c>
      <c r="D382" s="2" t="s">
        <v>4586</v>
      </c>
      <c r="F382" s="3" t="s">
        <v>61</v>
      </c>
      <c r="G382" s="3" t="s">
        <v>60</v>
      </c>
      <c r="H382" s="3" t="s">
        <v>61</v>
      </c>
      <c r="I382" s="3" t="s">
        <v>61</v>
      </c>
      <c r="J382" s="3" t="s">
        <v>62</v>
      </c>
      <c r="K382" s="2" t="s">
        <v>4587</v>
      </c>
      <c r="L382" s="2" t="s">
        <v>4588</v>
      </c>
      <c r="M382" s="3" t="s">
        <v>1319</v>
      </c>
      <c r="O382" s="3" t="s">
        <v>114</v>
      </c>
      <c r="P382" s="3" t="s">
        <v>115</v>
      </c>
      <c r="R382" s="3" t="s">
        <v>68</v>
      </c>
      <c r="S382" s="4">
        <v>1</v>
      </c>
      <c r="T382" s="4">
        <v>1</v>
      </c>
      <c r="U382" s="5" t="s">
        <v>2045</v>
      </c>
      <c r="V382" s="5" t="s">
        <v>2045</v>
      </c>
      <c r="W382" s="5" t="s">
        <v>2046</v>
      </c>
      <c r="X382" s="5" t="s">
        <v>2046</v>
      </c>
      <c r="Y382" s="4">
        <v>434</v>
      </c>
      <c r="Z382" s="4">
        <v>373</v>
      </c>
      <c r="AA382" s="4">
        <v>380</v>
      </c>
      <c r="AB382" s="4">
        <v>3</v>
      </c>
      <c r="AC382" s="4">
        <v>3</v>
      </c>
      <c r="AD382" s="4">
        <v>14</v>
      </c>
      <c r="AE382" s="4">
        <v>14</v>
      </c>
      <c r="AF382" s="4">
        <v>4</v>
      </c>
      <c r="AG382" s="4">
        <v>4</v>
      </c>
      <c r="AH382" s="4">
        <v>3</v>
      </c>
      <c r="AI382" s="4">
        <v>3</v>
      </c>
      <c r="AJ382" s="4">
        <v>10</v>
      </c>
      <c r="AK382" s="4">
        <v>10</v>
      </c>
      <c r="AL382" s="4">
        <v>2</v>
      </c>
      <c r="AM382" s="4">
        <v>2</v>
      </c>
      <c r="AN382" s="4">
        <v>0</v>
      </c>
      <c r="AO382" s="4">
        <v>0</v>
      </c>
      <c r="AP382" s="3" t="s">
        <v>61</v>
      </c>
      <c r="AQ382" s="3" t="s">
        <v>59</v>
      </c>
      <c r="AR382" s="6" t="str">
        <f>HYPERLINK("http://catalog.hathitrust.org/Record/008230738","HathiTrust Record")</f>
        <v>HathiTrust Record</v>
      </c>
      <c r="AS382" s="6" t="str">
        <f>HYPERLINK("https://creighton-primo.hosted.exlibrisgroup.com/primo-explore/search?tab=default_tab&amp;search_scope=EVERYTHING&amp;vid=01CRU&amp;lang=en_US&amp;offset=0&amp;query=any,contains,991003587909702656","Catalog Record")</f>
        <v>Catalog Record</v>
      </c>
      <c r="AT382" s="6" t="str">
        <f>HYPERLINK("http://www.worldcat.org/oclc/782012","WorldCat Record")</f>
        <v>WorldCat Record</v>
      </c>
      <c r="AU382" s="3" t="s">
        <v>4589</v>
      </c>
      <c r="AV382" s="3" t="s">
        <v>4590</v>
      </c>
      <c r="AW382" s="3" t="s">
        <v>4591</v>
      </c>
      <c r="AX382" s="3" t="s">
        <v>4591</v>
      </c>
      <c r="AY382" s="3" t="s">
        <v>4592</v>
      </c>
      <c r="AZ382" s="3" t="s">
        <v>75</v>
      </c>
      <c r="BC382" s="3" t="s">
        <v>4593</v>
      </c>
      <c r="BD382" s="3" t="s">
        <v>4594</v>
      </c>
    </row>
    <row r="383" spans="1:56" ht="44.25" customHeight="1" x14ac:dyDescent="0.25">
      <c r="A383" s="7" t="s">
        <v>61</v>
      </c>
      <c r="B383" s="2" t="s">
        <v>4595</v>
      </c>
      <c r="C383" s="2" t="s">
        <v>4596</v>
      </c>
      <c r="D383" s="2" t="s">
        <v>4597</v>
      </c>
      <c r="E383" s="3" t="s">
        <v>141</v>
      </c>
      <c r="F383" s="3" t="s">
        <v>59</v>
      </c>
      <c r="G383" s="3" t="s">
        <v>60</v>
      </c>
      <c r="H383" s="3" t="s">
        <v>61</v>
      </c>
      <c r="I383" s="3" t="s">
        <v>61</v>
      </c>
      <c r="J383" s="3" t="s">
        <v>62</v>
      </c>
      <c r="K383" s="2" t="s">
        <v>4598</v>
      </c>
      <c r="L383" s="2" t="s">
        <v>4599</v>
      </c>
      <c r="M383" s="3" t="s">
        <v>784</v>
      </c>
      <c r="N383" s="2" t="s">
        <v>4324</v>
      </c>
      <c r="O383" s="3" t="s">
        <v>114</v>
      </c>
      <c r="P383" s="3" t="s">
        <v>235</v>
      </c>
      <c r="R383" s="3" t="s">
        <v>68</v>
      </c>
      <c r="S383" s="4">
        <v>0</v>
      </c>
      <c r="T383" s="4">
        <v>3</v>
      </c>
      <c r="V383" s="5" t="s">
        <v>4600</v>
      </c>
      <c r="W383" s="5" t="s">
        <v>2570</v>
      </c>
      <c r="X383" s="5" t="s">
        <v>2570</v>
      </c>
      <c r="Y383" s="4">
        <v>998</v>
      </c>
      <c r="Z383" s="4">
        <v>918</v>
      </c>
      <c r="AA383" s="4">
        <v>1179</v>
      </c>
      <c r="AB383" s="4">
        <v>6</v>
      </c>
      <c r="AC383" s="4">
        <v>7</v>
      </c>
      <c r="AD383" s="4">
        <v>33</v>
      </c>
      <c r="AE383" s="4">
        <v>46</v>
      </c>
      <c r="AF383" s="4">
        <v>16</v>
      </c>
      <c r="AG383" s="4">
        <v>21</v>
      </c>
      <c r="AH383" s="4">
        <v>8</v>
      </c>
      <c r="AI383" s="4">
        <v>10</v>
      </c>
      <c r="AJ383" s="4">
        <v>14</v>
      </c>
      <c r="AK383" s="4">
        <v>22</v>
      </c>
      <c r="AL383" s="4">
        <v>5</v>
      </c>
      <c r="AM383" s="4">
        <v>6</v>
      </c>
      <c r="AN383" s="4">
        <v>0</v>
      </c>
      <c r="AO383" s="4">
        <v>0</v>
      </c>
      <c r="AP383" s="3" t="s">
        <v>61</v>
      </c>
      <c r="AQ383" s="3" t="s">
        <v>59</v>
      </c>
      <c r="AR383" s="6" t="str">
        <f>HYPERLINK("http://catalog.hathitrust.org/Record/000397055","HathiTrust Record")</f>
        <v>HathiTrust Record</v>
      </c>
      <c r="AS383" s="6" t="str">
        <f>HYPERLINK("https://creighton-primo.hosted.exlibrisgroup.com/primo-explore/search?tab=default_tab&amp;search_scope=EVERYTHING&amp;vid=01CRU&amp;lang=en_US&amp;offset=0&amp;query=any,contains,991003064169702656","Catalog Record")</f>
        <v>Catalog Record</v>
      </c>
      <c r="AT383" s="6" t="str">
        <f>HYPERLINK("http://www.worldcat.org/oclc/620860","WorldCat Record")</f>
        <v>WorldCat Record</v>
      </c>
      <c r="AU383" s="3" t="s">
        <v>4601</v>
      </c>
      <c r="AV383" s="3" t="s">
        <v>4602</v>
      </c>
      <c r="AW383" s="3" t="s">
        <v>4603</v>
      </c>
      <c r="AX383" s="3" t="s">
        <v>4603</v>
      </c>
      <c r="AY383" s="3" t="s">
        <v>4604</v>
      </c>
      <c r="AZ383" s="3" t="s">
        <v>75</v>
      </c>
      <c r="BC383" s="3" t="s">
        <v>4605</v>
      </c>
      <c r="BD383" s="3" t="s">
        <v>4606</v>
      </c>
    </row>
    <row r="384" spans="1:56" ht="44.25" customHeight="1" x14ac:dyDescent="0.25">
      <c r="A384" s="7" t="s">
        <v>61</v>
      </c>
      <c r="B384" s="2" t="s">
        <v>4595</v>
      </c>
      <c r="C384" s="2" t="s">
        <v>4596</v>
      </c>
      <c r="D384" s="2" t="s">
        <v>4597</v>
      </c>
      <c r="E384" s="3" t="s">
        <v>84</v>
      </c>
      <c r="F384" s="3" t="s">
        <v>59</v>
      </c>
      <c r="G384" s="3" t="s">
        <v>60</v>
      </c>
      <c r="H384" s="3" t="s">
        <v>61</v>
      </c>
      <c r="I384" s="3" t="s">
        <v>61</v>
      </c>
      <c r="J384" s="3" t="s">
        <v>62</v>
      </c>
      <c r="K384" s="2" t="s">
        <v>4598</v>
      </c>
      <c r="L384" s="2" t="s">
        <v>4599</v>
      </c>
      <c r="M384" s="3" t="s">
        <v>784</v>
      </c>
      <c r="N384" s="2" t="s">
        <v>4324</v>
      </c>
      <c r="O384" s="3" t="s">
        <v>114</v>
      </c>
      <c r="P384" s="3" t="s">
        <v>235</v>
      </c>
      <c r="R384" s="3" t="s">
        <v>68</v>
      </c>
      <c r="S384" s="4">
        <v>3</v>
      </c>
      <c r="T384" s="4">
        <v>3</v>
      </c>
      <c r="U384" s="5" t="s">
        <v>4600</v>
      </c>
      <c r="V384" s="5" t="s">
        <v>4600</v>
      </c>
      <c r="W384" s="5" t="s">
        <v>2570</v>
      </c>
      <c r="X384" s="5" t="s">
        <v>2570</v>
      </c>
      <c r="Y384" s="4">
        <v>998</v>
      </c>
      <c r="Z384" s="4">
        <v>918</v>
      </c>
      <c r="AA384" s="4">
        <v>1179</v>
      </c>
      <c r="AB384" s="4">
        <v>6</v>
      </c>
      <c r="AC384" s="4">
        <v>7</v>
      </c>
      <c r="AD384" s="4">
        <v>33</v>
      </c>
      <c r="AE384" s="4">
        <v>46</v>
      </c>
      <c r="AF384" s="4">
        <v>16</v>
      </c>
      <c r="AG384" s="4">
        <v>21</v>
      </c>
      <c r="AH384" s="4">
        <v>8</v>
      </c>
      <c r="AI384" s="4">
        <v>10</v>
      </c>
      <c r="AJ384" s="4">
        <v>14</v>
      </c>
      <c r="AK384" s="4">
        <v>22</v>
      </c>
      <c r="AL384" s="4">
        <v>5</v>
      </c>
      <c r="AM384" s="4">
        <v>6</v>
      </c>
      <c r="AN384" s="4">
        <v>0</v>
      </c>
      <c r="AO384" s="4">
        <v>0</v>
      </c>
      <c r="AP384" s="3" t="s">
        <v>61</v>
      </c>
      <c r="AQ384" s="3" t="s">
        <v>59</v>
      </c>
      <c r="AR384" s="6" t="str">
        <f>HYPERLINK("http://catalog.hathitrust.org/Record/000397055","HathiTrust Record")</f>
        <v>HathiTrust Record</v>
      </c>
      <c r="AS384" s="6" t="str">
        <f>HYPERLINK("https://creighton-primo.hosted.exlibrisgroup.com/primo-explore/search?tab=default_tab&amp;search_scope=EVERYTHING&amp;vid=01CRU&amp;lang=en_US&amp;offset=0&amp;query=any,contains,991003064169702656","Catalog Record")</f>
        <v>Catalog Record</v>
      </c>
      <c r="AT384" s="6" t="str">
        <f>HYPERLINK("http://www.worldcat.org/oclc/620860","WorldCat Record")</f>
        <v>WorldCat Record</v>
      </c>
      <c r="AU384" s="3" t="s">
        <v>4601</v>
      </c>
      <c r="AV384" s="3" t="s">
        <v>4602</v>
      </c>
      <c r="AW384" s="3" t="s">
        <v>4603</v>
      </c>
      <c r="AX384" s="3" t="s">
        <v>4603</v>
      </c>
      <c r="AY384" s="3" t="s">
        <v>4604</v>
      </c>
      <c r="AZ384" s="3" t="s">
        <v>75</v>
      </c>
      <c r="BC384" s="3" t="s">
        <v>4607</v>
      </c>
      <c r="BD384" s="3" t="s">
        <v>4608</v>
      </c>
    </row>
    <row r="385" spans="1:56" ht="44.25" customHeight="1" x14ac:dyDescent="0.25">
      <c r="A385" s="7" t="s">
        <v>61</v>
      </c>
      <c r="B385" s="2" t="s">
        <v>4609</v>
      </c>
      <c r="C385" s="2" t="s">
        <v>4610</v>
      </c>
      <c r="D385" s="2" t="s">
        <v>4611</v>
      </c>
      <c r="E385" s="3" t="s">
        <v>84</v>
      </c>
      <c r="F385" s="3" t="s">
        <v>61</v>
      </c>
      <c r="G385" s="3" t="s">
        <v>60</v>
      </c>
      <c r="H385" s="3" t="s">
        <v>61</v>
      </c>
      <c r="I385" s="3" t="s">
        <v>61</v>
      </c>
      <c r="J385" s="3" t="s">
        <v>62</v>
      </c>
      <c r="K385" s="2" t="s">
        <v>4612</v>
      </c>
      <c r="L385" s="2" t="s">
        <v>4613</v>
      </c>
      <c r="M385" s="3" t="s">
        <v>536</v>
      </c>
      <c r="N385" s="2" t="s">
        <v>4614</v>
      </c>
      <c r="O385" s="3" t="s">
        <v>114</v>
      </c>
      <c r="P385" s="3" t="s">
        <v>235</v>
      </c>
      <c r="R385" s="3" t="s">
        <v>68</v>
      </c>
      <c r="S385" s="4">
        <v>2</v>
      </c>
      <c r="T385" s="4">
        <v>2</v>
      </c>
      <c r="U385" s="5" t="s">
        <v>4615</v>
      </c>
      <c r="V385" s="5" t="s">
        <v>4615</v>
      </c>
      <c r="W385" s="5" t="s">
        <v>4616</v>
      </c>
      <c r="X385" s="5" t="s">
        <v>4616</v>
      </c>
      <c r="Y385" s="4">
        <v>1288</v>
      </c>
      <c r="Z385" s="4">
        <v>1196</v>
      </c>
      <c r="AA385" s="4">
        <v>1361</v>
      </c>
      <c r="AB385" s="4">
        <v>9</v>
      </c>
      <c r="AC385" s="4">
        <v>10</v>
      </c>
      <c r="AD385" s="4">
        <v>25</v>
      </c>
      <c r="AE385" s="4">
        <v>26</v>
      </c>
      <c r="AF385" s="4">
        <v>10</v>
      </c>
      <c r="AG385" s="4">
        <v>11</v>
      </c>
      <c r="AH385" s="4">
        <v>5</v>
      </c>
      <c r="AI385" s="4">
        <v>5</v>
      </c>
      <c r="AJ385" s="4">
        <v>13</v>
      </c>
      <c r="AK385" s="4">
        <v>13</v>
      </c>
      <c r="AL385" s="4">
        <v>4</v>
      </c>
      <c r="AM385" s="4">
        <v>4</v>
      </c>
      <c r="AN385" s="4">
        <v>0</v>
      </c>
      <c r="AO385" s="4">
        <v>0</v>
      </c>
      <c r="AP385" s="3" t="s">
        <v>61</v>
      </c>
      <c r="AQ385" s="3" t="s">
        <v>61</v>
      </c>
      <c r="AS385" s="6" t="str">
        <f>HYPERLINK("https://creighton-primo.hosted.exlibrisgroup.com/primo-explore/search?tab=default_tab&amp;search_scope=EVERYTHING&amp;vid=01CRU&amp;lang=en_US&amp;offset=0&amp;query=any,contains,991002795719702656","Catalog Record")</f>
        <v>Catalog Record</v>
      </c>
      <c r="AT385" s="6" t="str">
        <f>HYPERLINK("http://www.worldcat.org/oclc/36719972","WorldCat Record")</f>
        <v>WorldCat Record</v>
      </c>
      <c r="AU385" s="3" t="s">
        <v>4617</v>
      </c>
      <c r="AV385" s="3" t="s">
        <v>4618</v>
      </c>
      <c r="AW385" s="3" t="s">
        <v>4619</v>
      </c>
      <c r="AX385" s="3" t="s">
        <v>4619</v>
      </c>
      <c r="AY385" s="3" t="s">
        <v>4620</v>
      </c>
      <c r="AZ385" s="3" t="s">
        <v>75</v>
      </c>
      <c r="BB385" s="3" t="s">
        <v>4621</v>
      </c>
      <c r="BC385" s="3" t="s">
        <v>4622</v>
      </c>
      <c r="BD385" s="3" t="s">
        <v>4623</v>
      </c>
    </row>
    <row r="386" spans="1:56" ht="44.25" customHeight="1" x14ac:dyDescent="0.25">
      <c r="A386" s="7" t="s">
        <v>61</v>
      </c>
      <c r="B386" s="2" t="s">
        <v>4624</v>
      </c>
      <c r="C386" s="2" t="s">
        <v>4625</v>
      </c>
      <c r="D386" s="2" t="s">
        <v>4626</v>
      </c>
      <c r="F386" s="3" t="s">
        <v>61</v>
      </c>
      <c r="G386" s="3" t="s">
        <v>60</v>
      </c>
      <c r="H386" s="3" t="s">
        <v>61</v>
      </c>
      <c r="I386" s="3" t="s">
        <v>61</v>
      </c>
      <c r="J386" s="3" t="s">
        <v>62</v>
      </c>
      <c r="K386" s="2" t="s">
        <v>4268</v>
      </c>
      <c r="L386" s="2" t="s">
        <v>4627</v>
      </c>
      <c r="M386" s="3" t="s">
        <v>234</v>
      </c>
      <c r="N386" s="2" t="s">
        <v>4614</v>
      </c>
      <c r="O386" s="3" t="s">
        <v>114</v>
      </c>
      <c r="P386" s="3" t="s">
        <v>235</v>
      </c>
      <c r="R386" s="3" t="s">
        <v>68</v>
      </c>
      <c r="S386" s="4">
        <v>5</v>
      </c>
      <c r="T386" s="4">
        <v>5</v>
      </c>
      <c r="U386" s="5" t="s">
        <v>4325</v>
      </c>
      <c r="V386" s="5" t="s">
        <v>4325</v>
      </c>
      <c r="W386" s="5" t="s">
        <v>4208</v>
      </c>
      <c r="X386" s="5" t="s">
        <v>4208</v>
      </c>
      <c r="Y386" s="4">
        <v>1473</v>
      </c>
      <c r="Z386" s="4">
        <v>1375</v>
      </c>
      <c r="AA386" s="4">
        <v>1655</v>
      </c>
      <c r="AB386" s="4">
        <v>7</v>
      </c>
      <c r="AC386" s="4">
        <v>10</v>
      </c>
      <c r="AD386" s="4">
        <v>36</v>
      </c>
      <c r="AE386" s="4">
        <v>42</v>
      </c>
      <c r="AF386" s="4">
        <v>15</v>
      </c>
      <c r="AG386" s="4">
        <v>17</v>
      </c>
      <c r="AH386" s="4">
        <v>8</v>
      </c>
      <c r="AI386" s="4">
        <v>9</v>
      </c>
      <c r="AJ386" s="4">
        <v>21</v>
      </c>
      <c r="AK386" s="4">
        <v>23</v>
      </c>
      <c r="AL386" s="4">
        <v>3</v>
      </c>
      <c r="AM386" s="4">
        <v>4</v>
      </c>
      <c r="AN386" s="4">
        <v>0</v>
      </c>
      <c r="AO386" s="4">
        <v>0</v>
      </c>
      <c r="AP386" s="3" t="s">
        <v>61</v>
      </c>
      <c r="AQ386" s="3" t="s">
        <v>59</v>
      </c>
      <c r="AR386" s="6" t="str">
        <f>HYPERLINK("http://catalog.hathitrust.org/Record/000275104","HathiTrust Record")</f>
        <v>HathiTrust Record</v>
      </c>
      <c r="AS386" s="6" t="str">
        <f>HYPERLINK("https://creighton-primo.hosted.exlibrisgroup.com/primo-explore/search?tab=default_tab&amp;search_scope=EVERYTHING&amp;vid=01CRU&amp;lang=en_US&amp;offset=0&amp;query=any,contains,991000223999702656","Catalog Record")</f>
        <v>Catalog Record</v>
      </c>
      <c r="AT386" s="6" t="str">
        <f>HYPERLINK("http://www.worldcat.org/oclc/9599565","WorldCat Record")</f>
        <v>WorldCat Record</v>
      </c>
      <c r="AU386" s="3" t="s">
        <v>4628</v>
      </c>
      <c r="AV386" s="3" t="s">
        <v>4629</v>
      </c>
      <c r="AW386" s="3" t="s">
        <v>4630</v>
      </c>
      <c r="AX386" s="3" t="s">
        <v>4630</v>
      </c>
      <c r="AY386" s="3" t="s">
        <v>4631</v>
      </c>
      <c r="AZ386" s="3" t="s">
        <v>75</v>
      </c>
      <c r="BB386" s="3" t="s">
        <v>4632</v>
      </c>
      <c r="BC386" s="3" t="s">
        <v>4633</v>
      </c>
      <c r="BD386" s="3" t="s">
        <v>4634</v>
      </c>
    </row>
    <row r="387" spans="1:56" ht="44.25" customHeight="1" x14ac:dyDescent="0.25">
      <c r="A387" s="7" t="s">
        <v>61</v>
      </c>
      <c r="B387" s="2" t="s">
        <v>4635</v>
      </c>
      <c r="C387" s="2" t="s">
        <v>4636</v>
      </c>
      <c r="D387" s="2" t="s">
        <v>4637</v>
      </c>
      <c r="F387" s="3" t="s">
        <v>61</v>
      </c>
      <c r="G387" s="3" t="s">
        <v>60</v>
      </c>
      <c r="H387" s="3" t="s">
        <v>61</v>
      </c>
      <c r="I387" s="3" t="s">
        <v>61</v>
      </c>
      <c r="J387" s="3" t="s">
        <v>62</v>
      </c>
      <c r="K387" s="2" t="s">
        <v>4638</v>
      </c>
      <c r="L387" s="2" t="s">
        <v>4639</v>
      </c>
      <c r="M387" s="3" t="s">
        <v>249</v>
      </c>
      <c r="O387" s="3" t="s">
        <v>114</v>
      </c>
      <c r="P387" s="3" t="s">
        <v>235</v>
      </c>
      <c r="R387" s="3" t="s">
        <v>68</v>
      </c>
      <c r="S387" s="4">
        <v>7</v>
      </c>
      <c r="T387" s="4">
        <v>7</v>
      </c>
      <c r="U387" s="5" t="s">
        <v>4640</v>
      </c>
      <c r="V387" s="5" t="s">
        <v>4640</v>
      </c>
      <c r="W387" s="5" t="s">
        <v>4641</v>
      </c>
      <c r="X387" s="5" t="s">
        <v>4641</v>
      </c>
      <c r="Y387" s="4">
        <v>997</v>
      </c>
      <c r="Z387" s="4">
        <v>879</v>
      </c>
      <c r="AA387" s="4">
        <v>891</v>
      </c>
      <c r="AB387" s="4">
        <v>6</v>
      </c>
      <c r="AC387" s="4">
        <v>6</v>
      </c>
      <c r="AD387" s="4">
        <v>37</v>
      </c>
      <c r="AE387" s="4">
        <v>37</v>
      </c>
      <c r="AF387" s="4">
        <v>14</v>
      </c>
      <c r="AG387" s="4">
        <v>14</v>
      </c>
      <c r="AH387" s="4">
        <v>9</v>
      </c>
      <c r="AI387" s="4">
        <v>9</v>
      </c>
      <c r="AJ387" s="4">
        <v>18</v>
      </c>
      <c r="AK387" s="4">
        <v>18</v>
      </c>
      <c r="AL387" s="4">
        <v>5</v>
      </c>
      <c r="AM387" s="4">
        <v>5</v>
      </c>
      <c r="AN387" s="4">
        <v>0</v>
      </c>
      <c r="AO387" s="4">
        <v>0</v>
      </c>
      <c r="AP387" s="3" t="s">
        <v>61</v>
      </c>
      <c r="AQ387" s="3" t="s">
        <v>59</v>
      </c>
      <c r="AR387" s="6" t="str">
        <f>HYPERLINK("http://catalog.hathitrust.org/Record/002601027","HathiTrust Record")</f>
        <v>HathiTrust Record</v>
      </c>
      <c r="AS387" s="6" t="str">
        <f>HYPERLINK("https://creighton-primo.hosted.exlibrisgroup.com/primo-explore/search?tab=default_tab&amp;search_scope=EVERYTHING&amp;vid=01CRU&amp;lang=en_US&amp;offset=0&amp;query=any,contains,991002080399702656","Catalog Record")</f>
        <v>Catalog Record</v>
      </c>
      <c r="AT387" s="6" t="str">
        <f>HYPERLINK("http://www.worldcat.org/oclc/26674032","WorldCat Record")</f>
        <v>WorldCat Record</v>
      </c>
      <c r="AU387" s="3" t="s">
        <v>4642</v>
      </c>
      <c r="AV387" s="3" t="s">
        <v>4643</v>
      </c>
      <c r="AW387" s="3" t="s">
        <v>4644</v>
      </c>
      <c r="AX387" s="3" t="s">
        <v>4644</v>
      </c>
      <c r="AY387" s="3" t="s">
        <v>4645</v>
      </c>
      <c r="AZ387" s="3" t="s">
        <v>75</v>
      </c>
      <c r="BB387" s="3" t="s">
        <v>4646</v>
      </c>
      <c r="BC387" s="3" t="s">
        <v>4647</v>
      </c>
      <c r="BD387" s="3" t="s">
        <v>4648</v>
      </c>
    </row>
    <row r="388" spans="1:56" ht="44.25" customHeight="1" x14ac:dyDescent="0.25">
      <c r="A388" s="7" t="s">
        <v>61</v>
      </c>
      <c r="B388" s="2" t="s">
        <v>4649</v>
      </c>
      <c r="C388" s="2" t="s">
        <v>4650</v>
      </c>
      <c r="D388" s="2" t="s">
        <v>4651</v>
      </c>
      <c r="F388" s="3" t="s">
        <v>61</v>
      </c>
      <c r="G388" s="3" t="s">
        <v>60</v>
      </c>
      <c r="H388" s="3" t="s">
        <v>61</v>
      </c>
      <c r="I388" s="3" t="s">
        <v>61</v>
      </c>
      <c r="J388" s="3" t="s">
        <v>62</v>
      </c>
      <c r="K388" s="2" t="s">
        <v>4652</v>
      </c>
      <c r="L388" s="2" t="s">
        <v>4653</v>
      </c>
      <c r="M388" s="3" t="s">
        <v>784</v>
      </c>
      <c r="N388" s="2" t="s">
        <v>306</v>
      </c>
      <c r="O388" s="3" t="s">
        <v>114</v>
      </c>
      <c r="P388" s="3" t="s">
        <v>235</v>
      </c>
      <c r="R388" s="3" t="s">
        <v>68</v>
      </c>
      <c r="S388" s="4">
        <v>3</v>
      </c>
      <c r="T388" s="4">
        <v>3</v>
      </c>
      <c r="U388" s="5" t="s">
        <v>4654</v>
      </c>
      <c r="V388" s="5" t="s">
        <v>4654</v>
      </c>
      <c r="W388" s="5" t="s">
        <v>3353</v>
      </c>
      <c r="X388" s="5" t="s">
        <v>3353</v>
      </c>
      <c r="Y388" s="4">
        <v>694</v>
      </c>
      <c r="Z388" s="4">
        <v>658</v>
      </c>
      <c r="AA388" s="4">
        <v>697</v>
      </c>
      <c r="AB388" s="4">
        <v>2</v>
      </c>
      <c r="AC388" s="4">
        <v>3</v>
      </c>
      <c r="AD388" s="4">
        <v>26</v>
      </c>
      <c r="AE388" s="4">
        <v>27</v>
      </c>
      <c r="AF388" s="4">
        <v>11</v>
      </c>
      <c r="AG388" s="4">
        <v>11</v>
      </c>
      <c r="AH388" s="4">
        <v>8</v>
      </c>
      <c r="AI388" s="4">
        <v>8</v>
      </c>
      <c r="AJ388" s="4">
        <v>14</v>
      </c>
      <c r="AK388" s="4">
        <v>14</v>
      </c>
      <c r="AL388" s="4">
        <v>1</v>
      </c>
      <c r="AM388" s="4">
        <v>2</v>
      </c>
      <c r="AN388" s="4">
        <v>1</v>
      </c>
      <c r="AO388" s="4">
        <v>1</v>
      </c>
      <c r="AP388" s="3" t="s">
        <v>61</v>
      </c>
      <c r="AQ388" s="3" t="s">
        <v>59</v>
      </c>
      <c r="AR388" s="6" t="str">
        <f>HYPERLINK("http://catalog.hathitrust.org/Record/000000388","HathiTrust Record")</f>
        <v>HathiTrust Record</v>
      </c>
      <c r="AS388" s="6" t="str">
        <f>HYPERLINK("https://creighton-primo.hosted.exlibrisgroup.com/primo-explore/search?tab=default_tab&amp;search_scope=EVERYTHING&amp;vid=01CRU&amp;lang=en_US&amp;offset=0&amp;query=any,contains,991000092649702656","Catalog Record")</f>
        <v>Catalog Record</v>
      </c>
      <c r="AT388" s="6" t="str">
        <f>HYPERLINK("http://www.worldcat.org/oclc/38505","WorldCat Record")</f>
        <v>WorldCat Record</v>
      </c>
      <c r="AU388" s="3" t="s">
        <v>4655</v>
      </c>
      <c r="AV388" s="3" t="s">
        <v>4656</v>
      </c>
      <c r="AW388" s="3" t="s">
        <v>4657</v>
      </c>
      <c r="AX388" s="3" t="s">
        <v>4657</v>
      </c>
      <c r="AY388" s="3" t="s">
        <v>4658</v>
      </c>
      <c r="AZ388" s="3" t="s">
        <v>75</v>
      </c>
      <c r="BC388" s="3" t="s">
        <v>4659</v>
      </c>
      <c r="BD388" s="3" t="s">
        <v>4660</v>
      </c>
    </row>
    <row r="389" spans="1:56" ht="44.25" customHeight="1" x14ac:dyDescent="0.25">
      <c r="A389" s="7" t="s">
        <v>61</v>
      </c>
      <c r="B389" s="2" t="s">
        <v>4661</v>
      </c>
      <c r="C389" s="2" t="s">
        <v>4662</v>
      </c>
      <c r="D389" s="2" t="s">
        <v>4663</v>
      </c>
      <c r="F389" s="3" t="s">
        <v>61</v>
      </c>
      <c r="G389" s="3" t="s">
        <v>60</v>
      </c>
      <c r="H389" s="3" t="s">
        <v>61</v>
      </c>
      <c r="I389" s="3" t="s">
        <v>61</v>
      </c>
      <c r="J389" s="3" t="s">
        <v>62</v>
      </c>
      <c r="L389" s="2" t="s">
        <v>4664</v>
      </c>
      <c r="M389" s="3" t="s">
        <v>422</v>
      </c>
      <c r="O389" s="3" t="s">
        <v>4665</v>
      </c>
      <c r="P389" s="3" t="s">
        <v>4666</v>
      </c>
      <c r="R389" s="3" t="s">
        <v>68</v>
      </c>
      <c r="S389" s="4">
        <v>4</v>
      </c>
      <c r="T389" s="4">
        <v>4</v>
      </c>
      <c r="U389" s="5" t="s">
        <v>4667</v>
      </c>
      <c r="V389" s="5" t="s">
        <v>4667</v>
      </c>
      <c r="W389" s="5" t="s">
        <v>4668</v>
      </c>
      <c r="X389" s="5" t="s">
        <v>4668</v>
      </c>
      <c r="Y389" s="4">
        <v>93</v>
      </c>
      <c r="Z389" s="4">
        <v>64</v>
      </c>
      <c r="AA389" s="4">
        <v>66</v>
      </c>
      <c r="AB389" s="4">
        <v>2</v>
      </c>
      <c r="AC389" s="4">
        <v>2</v>
      </c>
      <c r="AD389" s="4">
        <v>3</v>
      </c>
      <c r="AE389" s="4">
        <v>3</v>
      </c>
      <c r="AF389" s="4">
        <v>2</v>
      </c>
      <c r="AG389" s="4">
        <v>2</v>
      </c>
      <c r="AH389" s="4">
        <v>0</v>
      </c>
      <c r="AI389" s="4">
        <v>0</v>
      </c>
      <c r="AJ389" s="4">
        <v>1</v>
      </c>
      <c r="AK389" s="4">
        <v>1</v>
      </c>
      <c r="AL389" s="4">
        <v>1</v>
      </c>
      <c r="AM389" s="4">
        <v>1</v>
      </c>
      <c r="AN389" s="4">
        <v>0</v>
      </c>
      <c r="AO389" s="4">
        <v>0</v>
      </c>
      <c r="AP389" s="3" t="s">
        <v>61</v>
      </c>
      <c r="AQ389" s="3" t="s">
        <v>59</v>
      </c>
      <c r="AR389" s="6" t="str">
        <f>HYPERLINK("http://catalog.hathitrust.org/Record/007137211","HathiTrust Record")</f>
        <v>HathiTrust Record</v>
      </c>
      <c r="AS389" s="6" t="str">
        <f>HYPERLINK("https://creighton-primo.hosted.exlibrisgroup.com/primo-explore/search?tab=default_tab&amp;search_scope=EVERYTHING&amp;vid=01CRU&amp;lang=en_US&amp;offset=0&amp;query=any,contains,991003003589702656","Catalog Record")</f>
        <v>Catalog Record</v>
      </c>
      <c r="AT389" s="6" t="str">
        <f>HYPERLINK("http://www.worldcat.org/oclc/40697794","WorldCat Record")</f>
        <v>WorldCat Record</v>
      </c>
      <c r="AU389" s="3" t="s">
        <v>4669</v>
      </c>
      <c r="AV389" s="3" t="s">
        <v>4670</v>
      </c>
      <c r="AW389" s="3" t="s">
        <v>4671</v>
      </c>
      <c r="AX389" s="3" t="s">
        <v>4671</v>
      </c>
      <c r="AY389" s="3" t="s">
        <v>4672</v>
      </c>
      <c r="AZ389" s="3" t="s">
        <v>75</v>
      </c>
      <c r="BC389" s="3" t="s">
        <v>4673</v>
      </c>
      <c r="BD389" s="3" t="s">
        <v>4674</v>
      </c>
    </row>
    <row r="390" spans="1:56" ht="44.25" customHeight="1" x14ac:dyDescent="0.25">
      <c r="A390" s="7" t="s">
        <v>61</v>
      </c>
      <c r="B390" s="2" t="s">
        <v>4675</v>
      </c>
      <c r="C390" s="2" t="s">
        <v>4676</v>
      </c>
      <c r="D390" s="2" t="s">
        <v>4677</v>
      </c>
      <c r="F390" s="3" t="s">
        <v>61</v>
      </c>
      <c r="G390" s="3" t="s">
        <v>60</v>
      </c>
      <c r="H390" s="3" t="s">
        <v>61</v>
      </c>
      <c r="I390" s="3" t="s">
        <v>61</v>
      </c>
      <c r="J390" s="3" t="s">
        <v>62</v>
      </c>
      <c r="K390" s="2" t="s">
        <v>4678</v>
      </c>
      <c r="L390" s="2" t="s">
        <v>4679</v>
      </c>
      <c r="M390" s="3" t="s">
        <v>536</v>
      </c>
      <c r="N390" s="2" t="s">
        <v>4680</v>
      </c>
      <c r="O390" s="3" t="s">
        <v>114</v>
      </c>
      <c r="P390" s="3" t="s">
        <v>235</v>
      </c>
      <c r="R390" s="3" t="s">
        <v>68</v>
      </c>
      <c r="S390" s="4">
        <v>16</v>
      </c>
      <c r="T390" s="4">
        <v>16</v>
      </c>
      <c r="U390" s="5" t="s">
        <v>4681</v>
      </c>
      <c r="V390" s="5" t="s">
        <v>4681</v>
      </c>
      <c r="W390" s="5" t="s">
        <v>4682</v>
      </c>
      <c r="X390" s="5" t="s">
        <v>4682</v>
      </c>
      <c r="Y390" s="4">
        <v>93</v>
      </c>
      <c r="Z390" s="4">
        <v>81</v>
      </c>
      <c r="AA390" s="4">
        <v>1055</v>
      </c>
      <c r="AB390" s="4">
        <v>2</v>
      </c>
      <c r="AC390" s="4">
        <v>6</v>
      </c>
      <c r="AD390" s="4">
        <v>9</v>
      </c>
      <c r="AE390" s="4">
        <v>37</v>
      </c>
      <c r="AF390" s="4">
        <v>5</v>
      </c>
      <c r="AG390" s="4">
        <v>16</v>
      </c>
      <c r="AH390" s="4">
        <v>2</v>
      </c>
      <c r="AI390" s="4">
        <v>7</v>
      </c>
      <c r="AJ390" s="4">
        <v>4</v>
      </c>
      <c r="AK390" s="4">
        <v>17</v>
      </c>
      <c r="AL390" s="4">
        <v>1</v>
      </c>
      <c r="AM390" s="4">
        <v>5</v>
      </c>
      <c r="AN390" s="4">
        <v>0</v>
      </c>
      <c r="AO390" s="4">
        <v>0</v>
      </c>
      <c r="AP390" s="3" t="s">
        <v>61</v>
      </c>
      <c r="AQ390" s="3" t="s">
        <v>61</v>
      </c>
      <c r="AS390" s="6" t="str">
        <f>HYPERLINK("https://creighton-primo.hosted.exlibrisgroup.com/primo-explore/search?tab=default_tab&amp;search_scope=EVERYTHING&amp;vid=01CRU&amp;lang=en_US&amp;offset=0&amp;query=any,contains,991002720409702656","Catalog Record")</f>
        <v>Catalog Record</v>
      </c>
      <c r="AT390" s="6" t="str">
        <f>HYPERLINK("http://www.worldcat.org/oclc/35666573","WorldCat Record")</f>
        <v>WorldCat Record</v>
      </c>
      <c r="AU390" s="3" t="s">
        <v>4683</v>
      </c>
      <c r="AV390" s="3" t="s">
        <v>4684</v>
      </c>
      <c r="AW390" s="3" t="s">
        <v>4685</v>
      </c>
      <c r="AX390" s="3" t="s">
        <v>4685</v>
      </c>
      <c r="AY390" s="3" t="s">
        <v>4686</v>
      </c>
      <c r="AZ390" s="3" t="s">
        <v>75</v>
      </c>
      <c r="BB390" s="3" t="s">
        <v>4687</v>
      </c>
      <c r="BC390" s="3" t="s">
        <v>4688</v>
      </c>
      <c r="BD390" s="3" t="s">
        <v>4689</v>
      </c>
    </row>
    <row r="391" spans="1:56" ht="44.25" customHeight="1" x14ac:dyDescent="0.25">
      <c r="A391" s="7" t="s">
        <v>61</v>
      </c>
      <c r="B391" s="2" t="s">
        <v>4690</v>
      </c>
      <c r="C391" s="2" t="s">
        <v>4691</v>
      </c>
      <c r="D391" s="2" t="s">
        <v>4692</v>
      </c>
      <c r="F391" s="3" t="s">
        <v>61</v>
      </c>
      <c r="G391" s="3" t="s">
        <v>60</v>
      </c>
      <c r="H391" s="3" t="s">
        <v>61</v>
      </c>
      <c r="I391" s="3" t="s">
        <v>61</v>
      </c>
      <c r="J391" s="3" t="s">
        <v>62</v>
      </c>
      <c r="K391" s="2" t="s">
        <v>4693</v>
      </c>
      <c r="L391" s="2" t="s">
        <v>4694</v>
      </c>
      <c r="M391" s="3" t="s">
        <v>579</v>
      </c>
      <c r="O391" s="3" t="s">
        <v>114</v>
      </c>
      <c r="P391" s="3" t="s">
        <v>1114</v>
      </c>
      <c r="R391" s="3" t="s">
        <v>68</v>
      </c>
      <c r="S391" s="4">
        <v>5</v>
      </c>
      <c r="T391" s="4">
        <v>5</v>
      </c>
      <c r="U391" s="5" t="s">
        <v>4151</v>
      </c>
      <c r="V391" s="5" t="s">
        <v>4151</v>
      </c>
      <c r="W391" s="5" t="s">
        <v>4695</v>
      </c>
      <c r="X391" s="5" t="s">
        <v>4695</v>
      </c>
      <c r="Y391" s="4">
        <v>162</v>
      </c>
      <c r="Z391" s="4">
        <v>129</v>
      </c>
      <c r="AA391" s="4">
        <v>237</v>
      </c>
      <c r="AB391" s="4">
        <v>3</v>
      </c>
      <c r="AC391" s="4">
        <v>4</v>
      </c>
      <c r="AD391" s="4">
        <v>5</v>
      </c>
      <c r="AE391" s="4">
        <v>9</v>
      </c>
      <c r="AF391" s="4">
        <v>0</v>
      </c>
      <c r="AG391" s="4">
        <v>0</v>
      </c>
      <c r="AH391" s="4">
        <v>1</v>
      </c>
      <c r="AI391" s="4">
        <v>3</v>
      </c>
      <c r="AJ391" s="4">
        <v>3</v>
      </c>
      <c r="AK391" s="4">
        <v>4</v>
      </c>
      <c r="AL391" s="4">
        <v>2</v>
      </c>
      <c r="AM391" s="4">
        <v>3</v>
      </c>
      <c r="AN391" s="4">
        <v>0</v>
      </c>
      <c r="AO391" s="4">
        <v>0</v>
      </c>
      <c r="AP391" s="3" t="s">
        <v>61</v>
      </c>
      <c r="AQ391" s="3" t="s">
        <v>59</v>
      </c>
      <c r="AR391" s="6" t="str">
        <f>HYPERLINK("http://catalog.hathitrust.org/Record/000579298","HathiTrust Record")</f>
        <v>HathiTrust Record</v>
      </c>
      <c r="AS391" s="6" t="str">
        <f>HYPERLINK("https://creighton-primo.hosted.exlibrisgroup.com/primo-explore/search?tab=default_tab&amp;search_scope=EVERYTHING&amp;vid=01CRU&amp;lang=en_US&amp;offset=0&amp;query=any,contains,991000595729702656","Catalog Record")</f>
        <v>Catalog Record</v>
      </c>
      <c r="AT391" s="6" t="str">
        <f>HYPERLINK("http://www.worldcat.org/oclc/11812659","WorldCat Record")</f>
        <v>WorldCat Record</v>
      </c>
      <c r="AU391" s="3" t="s">
        <v>4696</v>
      </c>
      <c r="AV391" s="3" t="s">
        <v>4697</v>
      </c>
      <c r="AW391" s="3" t="s">
        <v>4698</v>
      </c>
      <c r="AX391" s="3" t="s">
        <v>4698</v>
      </c>
      <c r="AY391" s="3" t="s">
        <v>4699</v>
      </c>
      <c r="AZ391" s="3" t="s">
        <v>75</v>
      </c>
      <c r="BB391" s="3" t="s">
        <v>4700</v>
      </c>
      <c r="BC391" s="3" t="s">
        <v>4701</v>
      </c>
      <c r="BD391" s="3" t="s">
        <v>4702</v>
      </c>
    </row>
    <row r="392" spans="1:56" ht="44.25" customHeight="1" x14ac:dyDescent="0.25">
      <c r="A392" s="7" t="s">
        <v>61</v>
      </c>
      <c r="B392" s="2" t="s">
        <v>4703</v>
      </c>
      <c r="C392" s="2" t="s">
        <v>4704</v>
      </c>
      <c r="D392" s="2" t="s">
        <v>4705</v>
      </c>
      <c r="F392" s="3" t="s">
        <v>61</v>
      </c>
      <c r="G392" s="3" t="s">
        <v>60</v>
      </c>
      <c r="H392" s="3" t="s">
        <v>61</v>
      </c>
      <c r="I392" s="3" t="s">
        <v>61</v>
      </c>
      <c r="J392" s="3" t="s">
        <v>62</v>
      </c>
      <c r="K392" s="2" t="s">
        <v>4706</v>
      </c>
      <c r="L392" s="2" t="s">
        <v>4707</v>
      </c>
      <c r="M392" s="3" t="s">
        <v>291</v>
      </c>
      <c r="O392" s="3" t="s">
        <v>114</v>
      </c>
      <c r="P392" s="3" t="s">
        <v>1114</v>
      </c>
      <c r="R392" s="3" t="s">
        <v>68</v>
      </c>
      <c r="S392" s="4">
        <v>3</v>
      </c>
      <c r="T392" s="4">
        <v>3</v>
      </c>
      <c r="U392" s="5" t="s">
        <v>4151</v>
      </c>
      <c r="V392" s="5" t="s">
        <v>4151</v>
      </c>
      <c r="W392" s="5" t="s">
        <v>4708</v>
      </c>
      <c r="X392" s="5" t="s">
        <v>4708</v>
      </c>
      <c r="Y392" s="4">
        <v>253</v>
      </c>
      <c r="Z392" s="4">
        <v>160</v>
      </c>
      <c r="AA392" s="4">
        <v>349</v>
      </c>
      <c r="AB392" s="4">
        <v>2</v>
      </c>
      <c r="AC392" s="4">
        <v>3</v>
      </c>
      <c r="AD392" s="4">
        <v>5</v>
      </c>
      <c r="AE392" s="4">
        <v>13</v>
      </c>
      <c r="AF392" s="4">
        <v>2</v>
      </c>
      <c r="AG392" s="4">
        <v>5</v>
      </c>
      <c r="AH392" s="4">
        <v>1</v>
      </c>
      <c r="AI392" s="4">
        <v>4</v>
      </c>
      <c r="AJ392" s="4">
        <v>2</v>
      </c>
      <c r="AK392" s="4">
        <v>5</v>
      </c>
      <c r="AL392" s="4">
        <v>1</v>
      </c>
      <c r="AM392" s="4">
        <v>2</v>
      </c>
      <c r="AN392" s="4">
        <v>0</v>
      </c>
      <c r="AO392" s="4">
        <v>0</v>
      </c>
      <c r="AP392" s="3" t="s">
        <v>61</v>
      </c>
      <c r="AQ392" s="3" t="s">
        <v>59</v>
      </c>
      <c r="AR392" s="6" t="str">
        <f>HYPERLINK("http://catalog.hathitrust.org/Record/000083665","HathiTrust Record")</f>
        <v>HathiTrust Record</v>
      </c>
      <c r="AS392" s="6" t="str">
        <f>HYPERLINK("https://creighton-primo.hosted.exlibrisgroup.com/primo-explore/search?tab=default_tab&amp;search_scope=EVERYTHING&amp;vid=01CRU&amp;lang=en_US&amp;offset=0&amp;query=any,contains,991004729369702656","Catalog Record")</f>
        <v>Catalog Record</v>
      </c>
      <c r="AT392" s="6" t="str">
        <f>HYPERLINK("http://www.worldcat.org/oclc/4832599","WorldCat Record")</f>
        <v>WorldCat Record</v>
      </c>
      <c r="AU392" s="3" t="s">
        <v>4709</v>
      </c>
      <c r="AV392" s="3" t="s">
        <v>4710</v>
      </c>
      <c r="AW392" s="3" t="s">
        <v>4711</v>
      </c>
      <c r="AX392" s="3" t="s">
        <v>4711</v>
      </c>
      <c r="AY392" s="3" t="s">
        <v>4712</v>
      </c>
      <c r="AZ392" s="3" t="s">
        <v>75</v>
      </c>
      <c r="BB392" s="3" t="s">
        <v>4713</v>
      </c>
      <c r="BC392" s="3" t="s">
        <v>4714</v>
      </c>
      <c r="BD392" s="3" t="s">
        <v>4715</v>
      </c>
    </row>
    <row r="393" spans="1:56" ht="44.25" customHeight="1" x14ac:dyDescent="0.25">
      <c r="A393" s="7" t="s">
        <v>61</v>
      </c>
      <c r="B393" s="2" t="s">
        <v>4716</v>
      </c>
      <c r="C393" s="2" t="s">
        <v>4717</v>
      </c>
      <c r="D393" s="2" t="s">
        <v>4718</v>
      </c>
      <c r="F393" s="3" t="s">
        <v>61</v>
      </c>
      <c r="G393" s="3" t="s">
        <v>60</v>
      </c>
      <c r="H393" s="3" t="s">
        <v>61</v>
      </c>
      <c r="I393" s="3" t="s">
        <v>61</v>
      </c>
      <c r="J393" s="3" t="s">
        <v>62</v>
      </c>
      <c r="K393" s="2" t="s">
        <v>4719</v>
      </c>
      <c r="L393" s="2" t="s">
        <v>4720</v>
      </c>
      <c r="M393" s="3" t="s">
        <v>2391</v>
      </c>
      <c r="N393" s="2" t="s">
        <v>4680</v>
      </c>
      <c r="O393" s="3" t="s">
        <v>114</v>
      </c>
      <c r="P393" s="3" t="s">
        <v>115</v>
      </c>
      <c r="R393" s="3" t="s">
        <v>68</v>
      </c>
      <c r="S393" s="4">
        <v>3</v>
      </c>
      <c r="T393" s="4">
        <v>3</v>
      </c>
      <c r="U393" s="5" t="s">
        <v>4721</v>
      </c>
      <c r="V393" s="5" t="s">
        <v>4721</v>
      </c>
      <c r="W393" s="5" t="s">
        <v>4721</v>
      </c>
      <c r="X393" s="5" t="s">
        <v>4721</v>
      </c>
      <c r="Y393" s="4">
        <v>697</v>
      </c>
      <c r="Z393" s="4">
        <v>652</v>
      </c>
      <c r="AA393" s="4">
        <v>716</v>
      </c>
      <c r="AB393" s="4">
        <v>6</v>
      </c>
      <c r="AC393" s="4">
        <v>6</v>
      </c>
      <c r="AD393" s="4">
        <v>27</v>
      </c>
      <c r="AE393" s="4">
        <v>28</v>
      </c>
      <c r="AF393" s="4">
        <v>11</v>
      </c>
      <c r="AG393" s="4">
        <v>12</v>
      </c>
      <c r="AH393" s="4">
        <v>7</v>
      </c>
      <c r="AI393" s="4">
        <v>7</v>
      </c>
      <c r="AJ393" s="4">
        <v>11</v>
      </c>
      <c r="AK393" s="4">
        <v>11</v>
      </c>
      <c r="AL393" s="4">
        <v>5</v>
      </c>
      <c r="AM393" s="4">
        <v>5</v>
      </c>
      <c r="AN393" s="4">
        <v>0</v>
      </c>
      <c r="AO393" s="4">
        <v>0</v>
      </c>
      <c r="AP393" s="3" t="s">
        <v>61</v>
      </c>
      <c r="AQ393" s="3" t="s">
        <v>61</v>
      </c>
      <c r="AS393" s="6" t="str">
        <f>HYPERLINK("https://creighton-primo.hosted.exlibrisgroup.com/primo-explore/search?tab=default_tab&amp;search_scope=EVERYTHING&amp;vid=01CRU&amp;lang=en_US&amp;offset=0&amp;query=any,contains,991004051059702656","Catalog Record")</f>
        <v>Catalog Record</v>
      </c>
      <c r="AT393" s="6" t="str">
        <f>HYPERLINK("http://www.worldcat.org/oclc/47999632","WorldCat Record")</f>
        <v>WorldCat Record</v>
      </c>
      <c r="AU393" s="3" t="s">
        <v>4722</v>
      </c>
      <c r="AV393" s="3" t="s">
        <v>4723</v>
      </c>
      <c r="AW393" s="3" t="s">
        <v>4724</v>
      </c>
      <c r="AX393" s="3" t="s">
        <v>4724</v>
      </c>
      <c r="AY393" s="3" t="s">
        <v>4725</v>
      </c>
      <c r="AZ393" s="3" t="s">
        <v>75</v>
      </c>
      <c r="BB393" s="3" t="s">
        <v>4726</v>
      </c>
      <c r="BC393" s="3" t="s">
        <v>4727</v>
      </c>
      <c r="BD393" s="3" t="s">
        <v>4728</v>
      </c>
    </row>
    <row r="394" spans="1:56" ht="44.25" customHeight="1" x14ac:dyDescent="0.25">
      <c r="A394" s="7" t="s">
        <v>61</v>
      </c>
      <c r="B394" s="2" t="s">
        <v>4729</v>
      </c>
      <c r="C394" s="2" t="s">
        <v>4730</v>
      </c>
      <c r="D394" s="2" t="s">
        <v>4731</v>
      </c>
      <c r="F394" s="3" t="s">
        <v>61</v>
      </c>
      <c r="G394" s="3" t="s">
        <v>60</v>
      </c>
      <c r="H394" s="3" t="s">
        <v>61</v>
      </c>
      <c r="I394" s="3" t="s">
        <v>61</v>
      </c>
      <c r="J394" s="3" t="s">
        <v>62</v>
      </c>
      <c r="L394" s="2" t="s">
        <v>4732</v>
      </c>
      <c r="M394" s="3" t="s">
        <v>436</v>
      </c>
      <c r="O394" s="3" t="s">
        <v>114</v>
      </c>
      <c r="P394" s="3" t="s">
        <v>192</v>
      </c>
      <c r="Q394" s="2" t="s">
        <v>4733</v>
      </c>
      <c r="R394" s="3" t="s">
        <v>68</v>
      </c>
      <c r="S394" s="4">
        <v>3</v>
      </c>
      <c r="T394" s="4">
        <v>3</v>
      </c>
      <c r="U394" s="5" t="s">
        <v>4453</v>
      </c>
      <c r="V394" s="5" t="s">
        <v>4453</v>
      </c>
      <c r="W394" s="5" t="s">
        <v>4271</v>
      </c>
      <c r="X394" s="5" t="s">
        <v>4271</v>
      </c>
      <c r="Y394" s="4">
        <v>205</v>
      </c>
      <c r="Z394" s="4">
        <v>107</v>
      </c>
      <c r="AA394" s="4">
        <v>109</v>
      </c>
      <c r="AB394" s="4">
        <v>1</v>
      </c>
      <c r="AC394" s="4">
        <v>1</v>
      </c>
      <c r="AD394" s="4">
        <v>5</v>
      </c>
      <c r="AE394" s="4">
        <v>5</v>
      </c>
      <c r="AF394" s="4">
        <v>2</v>
      </c>
      <c r="AG394" s="4">
        <v>2</v>
      </c>
      <c r="AH394" s="4">
        <v>1</v>
      </c>
      <c r="AI394" s="4">
        <v>1</v>
      </c>
      <c r="AJ394" s="4">
        <v>4</v>
      </c>
      <c r="AK394" s="4">
        <v>4</v>
      </c>
      <c r="AL394" s="4">
        <v>0</v>
      </c>
      <c r="AM394" s="4">
        <v>0</v>
      </c>
      <c r="AN394" s="4">
        <v>0</v>
      </c>
      <c r="AO394" s="4">
        <v>0</v>
      </c>
      <c r="AP394" s="3" t="s">
        <v>61</v>
      </c>
      <c r="AQ394" s="3" t="s">
        <v>59</v>
      </c>
      <c r="AR394" s="6" t="str">
        <f>HYPERLINK("http://catalog.hathitrust.org/Record/002464885","HathiTrust Record")</f>
        <v>HathiTrust Record</v>
      </c>
      <c r="AS394" s="6" t="str">
        <f>HYPERLINK("https://creighton-primo.hosted.exlibrisgroup.com/primo-explore/search?tab=default_tab&amp;search_scope=EVERYTHING&amp;vid=01CRU&amp;lang=en_US&amp;offset=0&amp;query=any,contains,991001704459702656","Catalog Record")</f>
        <v>Catalog Record</v>
      </c>
      <c r="AT394" s="6" t="str">
        <f>HYPERLINK("http://www.worldcat.org/oclc/21559572","WorldCat Record")</f>
        <v>WorldCat Record</v>
      </c>
      <c r="AU394" s="3" t="s">
        <v>4734</v>
      </c>
      <c r="AV394" s="3" t="s">
        <v>4735</v>
      </c>
      <c r="AW394" s="3" t="s">
        <v>4736</v>
      </c>
      <c r="AX394" s="3" t="s">
        <v>4736</v>
      </c>
      <c r="AY394" s="3" t="s">
        <v>4737</v>
      </c>
      <c r="AZ394" s="3" t="s">
        <v>75</v>
      </c>
      <c r="BB394" s="3" t="s">
        <v>4738</v>
      </c>
      <c r="BC394" s="3" t="s">
        <v>4739</v>
      </c>
      <c r="BD394" s="3" t="s">
        <v>4740</v>
      </c>
    </row>
    <row r="395" spans="1:56" ht="44.25" customHeight="1" x14ac:dyDescent="0.25">
      <c r="A395" s="7" t="s">
        <v>61</v>
      </c>
      <c r="B395" s="2" t="s">
        <v>4741</v>
      </c>
      <c r="C395" s="2" t="s">
        <v>4742</v>
      </c>
      <c r="D395" s="2" t="s">
        <v>4743</v>
      </c>
      <c r="F395" s="3" t="s">
        <v>61</v>
      </c>
      <c r="G395" s="3" t="s">
        <v>60</v>
      </c>
      <c r="H395" s="3" t="s">
        <v>61</v>
      </c>
      <c r="I395" s="3" t="s">
        <v>61</v>
      </c>
      <c r="J395" s="3" t="s">
        <v>62</v>
      </c>
      <c r="L395" s="2" t="s">
        <v>3966</v>
      </c>
      <c r="M395" s="3" t="s">
        <v>536</v>
      </c>
      <c r="O395" s="3" t="s">
        <v>114</v>
      </c>
      <c r="P395" s="3" t="s">
        <v>235</v>
      </c>
      <c r="R395" s="3" t="s">
        <v>68</v>
      </c>
      <c r="S395" s="4">
        <v>1</v>
      </c>
      <c r="T395" s="4">
        <v>1</v>
      </c>
      <c r="U395" s="5" t="s">
        <v>4744</v>
      </c>
      <c r="V395" s="5" t="s">
        <v>4744</v>
      </c>
      <c r="W395" s="5" t="s">
        <v>4745</v>
      </c>
      <c r="X395" s="5" t="s">
        <v>4745</v>
      </c>
      <c r="Y395" s="4">
        <v>149</v>
      </c>
      <c r="Z395" s="4">
        <v>121</v>
      </c>
      <c r="AA395" s="4">
        <v>131</v>
      </c>
      <c r="AB395" s="4">
        <v>1</v>
      </c>
      <c r="AC395" s="4">
        <v>1</v>
      </c>
      <c r="AD395" s="4">
        <v>7</v>
      </c>
      <c r="AE395" s="4">
        <v>8</v>
      </c>
      <c r="AF395" s="4">
        <v>2</v>
      </c>
      <c r="AG395" s="4">
        <v>2</v>
      </c>
      <c r="AH395" s="4">
        <v>3</v>
      </c>
      <c r="AI395" s="4">
        <v>4</v>
      </c>
      <c r="AJ395" s="4">
        <v>5</v>
      </c>
      <c r="AK395" s="4">
        <v>6</v>
      </c>
      <c r="AL395" s="4">
        <v>0</v>
      </c>
      <c r="AM395" s="4">
        <v>0</v>
      </c>
      <c r="AN395" s="4">
        <v>0</v>
      </c>
      <c r="AO395" s="4">
        <v>0</v>
      </c>
      <c r="AP395" s="3" t="s">
        <v>61</v>
      </c>
      <c r="AQ395" s="3" t="s">
        <v>61</v>
      </c>
      <c r="AS395" s="6" t="str">
        <f>HYPERLINK("https://creighton-primo.hosted.exlibrisgroup.com/primo-explore/search?tab=default_tab&amp;search_scope=EVERYTHING&amp;vid=01CRU&amp;lang=en_US&amp;offset=0&amp;query=any,contains,991002697099702656","Catalog Record")</f>
        <v>Catalog Record</v>
      </c>
      <c r="AT395" s="6" t="str">
        <f>HYPERLINK("http://www.worldcat.org/oclc/35212794","WorldCat Record")</f>
        <v>WorldCat Record</v>
      </c>
      <c r="AU395" s="3" t="s">
        <v>4746</v>
      </c>
      <c r="AV395" s="3" t="s">
        <v>4747</v>
      </c>
      <c r="AW395" s="3" t="s">
        <v>4748</v>
      </c>
      <c r="AX395" s="3" t="s">
        <v>4748</v>
      </c>
      <c r="AY395" s="3" t="s">
        <v>4749</v>
      </c>
      <c r="AZ395" s="3" t="s">
        <v>75</v>
      </c>
      <c r="BB395" s="3" t="s">
        <v>4750</v>
      </c>
      <c r="BC395" s="3" t="s">
        <v>4751</v>
      </c>
      <c r="BD395" s="3" t="s">
        <v>4752</v>
      </c>
    </row>
    <row r="396" spans="1:56" ht="44.25" customHeight="1" x14ac:dyDescent="0.25">
      <c r="A396" s="7" t="s">
        <v>61</v>
      </c>
      <c r="B396" s="2" t="s">
        <v>4753</v>
      </c>
      <c r="C396" s="2" t="s">
        <v>4754</v>
      </c>
      <c r="D396" s="2" t="s">
        <v>4755</v>
      </c>
      <c r="F396" s="3" t="s">
        <v>61</v>
      </c>
      <c r="G396" s="3" t="s">
        <v>60</v>
      </c>
      <c r="H396" s="3" t="s">
        <v>61</v>
      </c>
      <c r="I396" s="3" t="s">
        <v>61</v>
      </c>
      <c r="J396" s="3" t="s">
        <v>62</v>
      </c>
      <c r="K396" s="2" t="s">
        <v>4756</v>
      </c>
      <c r="L396" s="2" t="s">
        <v>4757</v>
      </c>
      <c r="M396" s="3" t="s">
        <v>1465</v>
      </c>
      <c r="O396" s="3" t="s">
        <v>114</v>
      </c>
      <c r="P396" s="3" t="s">
        <v>649</v>
      </c>
      <c r="R396" s="3" t="s">
        <v>68</v>
      </c>
      <c r="S396" s="4">
        <v>3</v>
      </c>
      <c r="T396" s="4">
        <v>3</v>
      </c>
      <c r="U396" s="5" t="s">
        <v>4758</v>
      </c>
      <c r="V396" s="5" t="s">
        <v>4758</v>
      </c>
      <c r="W396" s="5" t="s">
        <v>2111</v>
      </c>
      <c r="X396" s="5" t="s">
        <v>2111</v>
      </c>
      <c r="Y396" s="4">
        <v>946</v>
      </c>
      <c r="Z396" s="4">
        <v>838</v>
      </c>
      <c r="AA396" s="4">
        <v>979</v>
      </c>
      <c r="AB396" s="4">
        <v>7</v>
      </c>
      <c r="AC396" s="4">
        <v>7</v>
      </c>
      <c r="AD396" s="4">
        <v>42</v>
      </c>
      <c r="AE396" s="4">
        <v>48</v>
      </c>
      <c r="AF396" s="4">
        <v>18</v>
      </c>
      <c r="AG396" s="4">
        <v>23</v>
      </c>
      <c r="AH396" s="4">
        <v>10</v>
      </c>
      <c r="AI396" s="4">
        <v>10</v>
      </c>
      <c r="AJ396" s="4">
        <v>19</v>
      </c>
      <c r="AK396" s="4">
        <v>21</v>
      </c>
      <c r="AL396" s="4">
        <v>6</v>
      </c>
      <c r="AM396" s="4">
        <v>6</v>
      </c>
      <c r="AN396" s="4">
        <v>2</v>
      </c>
      <c r="AO396" s="4">
        <v>2</v>
      </c>
      <c r="AP396" s="3" t="s">
        <v>61</v>
      </c>
      <c r="AQ396" s="3" t="s">
        <v>61</v>
      </c>
      <c r="AS396" s="6" t="str">
        <f>HYPERLINK("https://creighton-primo.hosted.exlibrisgroup.com/primo-explore/search?tab=default_tab&amp;search_scope=EVERYTHING&amp;vid=01CRU&amp;lang=en_US&amp;offset=0&amp;query=any,contains,991001708059702656","Catalog Record")</f>
        <v>Catalog Record</v>
      </c>
      <c r="AT396" s="6" t="str">
        <f>HYPERLINK("http://www.worldcat.org/oclc/21591936","WorldCat Record")</f>
        <v>WorldCat Record</v>
      </c>
      <c r="AU396" s="3" t="s">
        <v>4759</v>
      </c>
      <c r="AV396" s="3" t="s">
        <v>4760</v>
      </c>
      <c r="AW396" s="3" t="s">
        <v>4761</v>
      </c>
      <c r="AX396" s="3" t="s">
        <v>4761</v>
      </c>
      <c r="AY396" s="3" t="s">
        <v>4762</v>
      </c>
      <c r="AZ396" s="3" t="s">
        <v>75</v>
      </c>
      <c r="BB396" s="3" t="s">
        <v>4763</v>
      </c>
      <c r="BC396" s="3" t="s">
        <v>4764</v>
      </c>
      <c r="BD396" s="3" t="s">
        <v>4765</v>
      </c>
    </row>
    <row r="397" spans="1:56" ht="44.25" customHeight="1" x14ac:dyDescent="0.25">
      <c r="A397" s="7" t="s">
        <v>61</v>
      </c>
      <c r="B397" s="2" t="s">
        <v>4766</v>
      </c>
      <c r="C397" s="2" t="s">
        <v>4767</v>
      </c>
      <c r="D397" s="2" t="s">
        <v>4768</v>
      </c>
      <c r="F397" s="3" t="s">
        <v>61</v>
      </c>
      <c r="G397" s="3" t="s">
        <v>60</v>
      </c>
      <c r="H397" s="3" t="s">
        <v>61</v>
      </c>
      <c r="I397" s="3" t="s">
        <v>61</v>
      </c>
      <c r="J397" s="3" t="s">
        <v>62</v>
      </c>
      <c r="K397" s="2" t="s">
        <v>4769</v>
      </c>
      <c r="L397" s="2" t="s">
        <v>4770</v>
      </c>
      <c r="M397" s="3" t="s">
        <v>3279</v>
      </c>
      <c r="O397" s="3" t="s">
        <v>114</v>
      </c>
      <c r="P397" s="3" t="s">
        <v>235</v>
      </c>
      <c r="Q397" s="2" t="s">
        <v>4771</v>
      </c>
      <c r="R397" s="3" t="s">
        <v>68</v>
      </c>
      <c r="S397" s="4">
        <v>3</v>
      </c>
      <c r="T397" s="4">
        <v>3</v>
      </c>
      <c r="U397" s="5" t="s">
        <v>4772</v>
      </c>
      <c r="V397" s="5" t="s">
        <v>4772</v>
      </c>
      <c r="W397" s="5" t="s">
        <v>3353</v>
      </c>
      <c r="X397" s="5" t="s">
        <v>3353</v>
      </c>
      <c r="Y397" s="4">
        <v>87</v>
      </c>
      <c r="Z397" s="4">
        <v>83</v>
      </c>
      <c r="AA397" s="4">
        <v>280</v>
      </c>
      <c r="AB397" s="4">
        <v>1</v>
      </c>
      <c r="AC397" s="4">
        <v>2</v>
      </c>
      <c r="AD397" s="4">
        <v>0</v>
      </c>
      <c r="AE397" s="4">
        <v>2</v>
      </c>
      <c r="AF397" s="4">
        <v>0</v>
      </c>
      <c r="AG397" s="4">
        <v>1</v>
      </c>
      <c r="AH397" s="4">
        <v>0</v>
      </c>
      <c r="AI397" s="4">
        <v>0</v>
      </c>
      <c r="AJ397" s="4">
        <v>0</v>
      </c>
      <c r="AK397" s="4">
        <v>1</v>
      </c>
      <c r="AL397" s="4">
        <v>0</v>
      </c>
      <c r="AM397" s="4">
        <v>1</v>
      </c>
      <c r="AN397" s="4">
        <v>0</v>
      </c>
      <c r="AO397" s="4">
        <v>0</v>
      </c>
      <c r="AP397" s="3" t="s">
        <v>61</v>
      </c>
      <c r="AQ397" s="3" t="s">
        <v>59</v>
      </c>
      <c r="AR397" s="6" t="str">
        <f>HYPERLINK("http://catalog.hathitrust.org/Record/007465955","HathiTrust Record")</f>
        <v>HathiTrust Record</v>
      </c>
      <c r="AS397" s="6" t="str">
        <f>HYPERLINK("https://creighton-primo.hosted.exlibrisgroup.com/primo-explore/search?tab=default_tab&amp;search_scope=EVERYTHING&amp;vid=01CRU&amp;lang=en_US&amp;offset=0&amp;query=any,contains,991002802259702656","Catalog Record")</f>
        <v>Catalog Record</v>
      </c>
      <c r="AT397" s="6" t="str">
        <f>HYPERLINK("http://www.worldcat.org/oclc/448049","WorldCat Record")</f>
        <v>WorldCat Record</v>
      </c>
      <c r="AU397" s="3" t="s">
        <v>4773</v>
      </c>
      <c r="AV397" s="3" t="s">
        <v>4774</v>
      </c>
      <c r="AW397" s="3" t="s">
        <v>4775</v>
      </c>
      <c r="AX397" s="3" t="s">
        <v>4775</v>
      </c>
      <c r="AY397" s="3" t="s">
        <v>4776</v>
      </c>
      <c r="AZ397" s="3" t="s">
        <v>75</v>
      </c>
      <c r="BB397" s="3" t="s">
        <v>4777</v>
      </c>
      <c r="BC397" s="3" t="s">
        <v>4778</v>
      </c>
      <c r="BD397" s="3" t="s">
        <v>4779</v>
      </c>
    </row>
    <row r="398" spans="1:56" ht="44.25" customHeight="1" x14ac:dyDescent="0.25">
      <c r="A398" s="7" t="s">
        <v>61</v>
      </c>
      <c r="B398" s="2" t="s">
        <v>4780</v>
      </c>
      <c r="C398" s="2" t="s">
        <v>4781</v>
      </c>
      <c r="D398" s="2" t="s">
        <v>4782</v>
      </c>
      <c r="F398" s="3" t="s">
        <v>61</v>
      </c>
      <c r="G398" s="3" t="s">
        <v>60</v>
      </c>
      <c r="H398" s="3" t="s">
        <v>61</v>
      </c>
      <c r="I398" s="3" t="s">
        <v>61</v>
      </c>
      <c r="J398" s="3" t="s">
        <v>62</v>
      </c>
      <c r="K398" s="2" t="s">
        <v>4783</v>
      </c>
      <c r="L398" s="2" t="s">
        <v>4784</v>
      </c>
      <c r="M398" s="3" t="s">
        <v>1571</v>
      </c>
      <c r="N398" s="2" t="s">
        <v>4785</v>
      </c>
      <c r="O398" s="3" t="s">
        <v>114</v>
      </c>
      <c r="P398" s="3" t="s">
        <v>235</v>
      </c>
      <c r="R398" s="3" t="s">
        <v>68</v>
      </c>
      <c r="S398" s="4">
        <v>1</v>
      </c>
      <c r="T398" s="4">
        <v>1</v>
      </c>
      <c r="U398" s="5" t="s">
        <v>4786</v>
      </c>
      <c r="V398" s="5" t="s">
        <v>4786</v>
      </c>
      <c r="W398" s="5" t="s">
        <v>2045</v>
      </c>
      <c r="X398" s="5" t="s">
        <v>2045</v>
      </c>
      <c r="Y398" s="4">
        <v>132</v>
      </c>
      <c r="Z398" s="4">
        <v>112</v>
      </c>
      <c r="AA398" s="4">
        <v>118</v>
      </c>
      <c r="AB398" s="4">
        <v>2</v>
      </c>
      <c r="AC398" s="4">
        <v>2</v>
      </c>
      <c r="AD398" s="4">
        <v>6</v>
      </c>
      <c r="AE398" s="4">
        <v>6</v>
      </c>
      <c r="AF398" s="4">
        <v>1</v>
      </c>
      <c r="AG398" s="4">
        <v>1</v>
      </c>
      <c r="AH398" s="4">
        <v>2</v>
      </c>
      <c r="AI398" s="4">
        <v>2</v>
      </c>
      <c r="AJ398" s="4">
        <v>4</v>
      </c>
      <c r="AK398" s="4">
        <v>4</v>
      </c>
      <c r="AL398" s="4">
        <v>1</v>
      </c>
      <c r="AM398" s="4">
        <v>1</v>
      </c>
      <c r="AN398" s="4">
        <v>0</v>
      </c>
      <c r="AO398" s="4">
        <v>0</v>
      </c>
      <c r="AP398" s="3" t="s">
        <v>61</v>
      </c>
      <c r="AQ398" s="3" t="s">
        <v>61</v>
      </c>
      <c r="AS398" s="6" t="str">
        <f>HYPERLINK("https://creighton-primo.hosted.exlibrisgroup.com/primo-explore/search?tab=default_tab&amp;search_scope=EVERYTHING&amp;vid=01CRU&amp;lang=en_US&amp;offset=0&amp;query=any,contains,991003591789702656","Catalog Record")</f>
        <v>Catalog Record</v>
      </c>
      <c r="AT398" s="6" t="str">
        <f>HYPERLINK("http://www.worldcat.org/oclc/879542","WorldCat Record")</f>
        <v>WorldCat Record</v>
      </c>
      <c r="AU398" s="3" t="s">
        <v>4787</v>
      </c>
      <c r="AV398" s="3" t="s">
        <v>4788</v>
      </c>
      <c r="AW398" s="3" t="s">
        <v>4789</v>
      </c>
      <c r="AX398" s="3" t="s">
        <v>4789</v>
      </c>
      <c r="AY398" s="3" t="s">
        <v>4790</v>
      </c>
      <c r="AZ398" s="3" t="s">
        <v>75</v>
      </c>
      <c r="BC398" s="3" t="s">
        <v>4791</v>
      </c>
      <c r="BD398" s="3" t="s">
        <v>4792</v>
      </c>
    </row>
    <row r="399" spans="1:56" ht="44.25" customHeight="1" x14ac:dyDescent="0.25">
      <c r="A399" s="7" t="s">
        <v>61</v>
      </c>
      <c r="B399" s="2" t="s">
        <v>4793</v>
      </c>
      <c r="C399" s="2" t="s">
        <v>4794</v>
      </c>
      <c r="D399" s="2" t="s">
        <v>4795</v>
      </c>
      <c r="F399" s="3" t="s">
        <v>61</v>
      </c>
      <c r="G399" s="3" t="s">
        <v>60</v>
      </c>
      <c r="H399" s="3" t="s">
        <v>61</v>
      </c>
      <c r="I399" s="3" t="s">
        <v>61</v>
      </c>
      <c r="J399" s="3" t="s">
        <v>62</v>
      </c>
      <c r="L399" s="2" t="s">
        <v>4796</v>
      </c>
      <c r="M399" s="3" t="s">
        <v>451</v>
      </c>
      <c r="O399" s="3" t="s">
        <v>114</v>
      </c>
      <c r="P399" s="3" t="s">
        <v>235</v>
      </c>
      <c r="R399" s="3" t="s">
        <v>68</v>
      </c>
      <c r="S399" s="4">
        <v>6</v>
      </c>
      <c r="T399" s="4">
        <v>6</v>
      </c>
      <c r="U399" s="5" t="s">
        <v>4797</v>
      </c>
      <c r="V399" s="5" t="s">
        <v>4797</v>
      </c>
      <c r="W399" s="5" t="s">
        <v>4798</v>
      </c>
      <c r="X399" s="5" t="s">
        <v>4798</v>
      </c>
      <c r="Y399" s="4">
        <v>712</v>
      </c>
      <c r="Z399" s="4">
        <v>611</v>
      </c>
      <c r="AA399" s="4">
        <v>612</v>
      </c>
      <c r="AB399" s="4">
        <v>3</v>
      </c>
      <c r="AC399" s="4">
        <v>3</v>
      </c>
      <c r="AD399" s="4">
        <v>26</v>
      </c>
      <c r="AE399" s="4">
        <v>26</v>
      </c>
      <c r="AF399" s="4">
        <v>11</v>
      </c>
      <c r="AG399" s="4">
        <v>11</v>
      </c>
      <c r="AH399" s="4">
        <v>6</v>
      </c>
      <c r="AI399" s="4">
        <v>6</v>
      </c>
      <c r="AJ399" s="4">
        <v>15</v>
      </c>
      <c r="AK399" s="4">
        <v>15</v>
      </c>
      <c r="AL399" s="4">
        <v>2</v>
      </c>
      <c r="AM399" s="4">
        <v>2</v>
      </c>
      <c r="AN399" s="4">
        <v>1</v>
      </c>
      <c r="AO399" s="4">
        <v>1</v>
      </c>
      <c r="AP399" s="3" t="s">
        <v>61</v>
      </c>
      <c r="AQ399" s="3" t="s">
        <v>59</v>
      </c>
      <c r="AR399" s="6" t="str">
        <f>HYPERLINK("http://catalog.hathitrust.org/Record/004057624","HathiTrust Record")</f>
        <v>HathiTrust Record</v>
      </c>
      <c r="AS399" s="6" t="str">
        <f>HYPERLINK("https://creighton-primo.hosted.exlibrisgroup.com/primo-explore/search?tab=default_tab&amp;search_scope=EVERYTHING&amp;vid=01CRU&amp;lang=en_US&amp;offset=0&amp;query=any,contains,991003040119702656","Catalog Record")</f>
        <v>Catalog Record</v>
      </c>
      <c r="AT399" s="6" t="str">
        <f>HYPERLINK("http://www.worldcat.org/oclc/42027425","WorldCat Record")</f>
        <v>WorldCat Record</v>
      </c>
      <c r="AU399" s="3" t="s">
        <v>4799</v>
      </c>
      <c r="AV399" s="3" t="s">
        <v>4800</v>
      </c>
      <c r="AW399" s="3" t="s">
        <v>4801</v>
      </c>
      <c r="AX399" s="3" t="s">
        <v>4801</v>
      </c>
      <c r="AY399" s="3" t="s">
        <v>4802</v>
      </c>
      <c r="AZ399" s="3" t="s">
        <v>75</v>
      </c>
      <c r="BB399" s="3" t="s">
        <v>4803</v>
      </c>
      <c r="BC399" s="3" t="s">
        <v>4804</v>
      </c>
      <c r="BD399" s="3" t="s">
        <v>4805</v>
      </c>
    </row>
    <row r="400" spans="1:56" ht="44.25" customHeight="1" x14ac:dyDescent="0.25">
      <c r="A400" s="7" t="s">
        <v>61</v>
      </c>
      <c r="B400" s="2" t="s">
        <v>4806</v>
      </c>
      <c r="C400" s="2" t="s">
        <v>4807</v>
      </c>
      <c r="D400" s="2" t="s">
        <v>4808</v>
      </c>
      <c r="F400" s="3" t="s">
        <v>61</v>
      </c>
      <c r="G400" s="3" t="s">
        <v>60</v>
      </c>
      <c r="H400" s="3" t="s">
        <v>61</v>
      </c>
      <c r="I400" s="3" t="s">
        <v>59</v>
      </c>
      <c r="J400" s="3" t="s">
        <v>62</v>
      </c>
      <c r="K400" s="2" t="s">
        <v>3926</v>
      </c>
      <c r="L400" s="2" t="s">
        <v>4809</v>
      </c>
      <c r="M400" s="3" t="s">
        <v>436</v>
      </c>
      <c r="N400" s="2" t="s">
        <v>2877</v>
      </c>
      <c r="O400" s="3" t="s">
        <v>114</v>
      </c>
      <c r="P400" s="3" t="s">
        <v>235</v>
      </c>
      <c r="R400" s="3" t="s">
        <v>68</v>
      </c>
      <c r="S400" s="4">
        <v>8</v>
      </c>
      <c r="T400" s="4">
        <v>8</v>
      </c>
      <c r="U400" s="5" t="s">
        <v>4810</v>
      </c>
      <c r="V400" s="5" t="s">
        <v>4810</v>
      </c>
      <c r="W400" s="5" t="s">
        <v>4811</v>
      </c>
      <c r="X400" s="5" t="s">
        <v>4811</v>
      </c>
      <c r="Y400" s="4">
        <v>425</v>
      </c>
      <c r="Z400" s="4">
        <v>319</v>
      </c>
      <c r="AA400" s="4">
        <v>868</v>
      </c>
      <c r="AB400" s="4">
        <v>3</v>
      </c>
      <c r="AC400" s="4">
        <v>6</v>
      </c>
      <c r="AD400" s="4">
        <v>16</v>
      </c>
      <c r="AE400" s="4">
        <v>43</v>
      </c>
      <c r="AF400" s="4">
        <v>6</v>
      </c>
      <c r="AG400" s="4">
        <v>18</v>
      </c>
      <c r="AH400" s="4">
        <v>3</v>
      </c>
      <c r="AI400" s="4">
        <v>9</v>
      </c>
      <c r="AJ400" s="4">
        <v>11</v>
      </c>
      <c r="AK400" s="4">
        <v>22</v>
      </c>
      <c r="AL400" s="4">
        <v>2</v>
      </c>
      <c r="AM400" s="4">
        <v>5</v>
      </c>
      <c r="AN400" s="4">
        <v>0</v>
      </c>
      <c r="AO400" s="4">
        <v>1</v>
      </c>
      <c r="AP400" s="3" t="s">
        <v>61</v>
      </c>
      <c r="AQ400" s="3" t="s">
        <v>61</v>
      </c>
      <c r="AS400" s="6" t="str">
        <f>HYPERLINK("https://creighton-primo.hosted.exlibrisgroup.com/primo-explore/search?tab=default_tab&amp;search_scope=EVERYTHING&amp;vid=01CRU&amp;lang=en_US&amp;offset=0&amp;query=any,contains,991001497209702656","Catalog Record")</f>
        <v>Catalog Record</v>
      </c>
      <c r="AT400" s="6" t="str">
        <f>HYPERLINK("http://www.worldcat.org/oclc/19776030","WorldCat Record")</f>
        <v>WorldCat Record</v>
      </c>
      <c r="AU400" s="3" t="s">
        <v>4812</v>
      </c>
      <c r="AV400" s="3" t="s">
        <v>4813</v>
      </c>
      <c r="AW400" s="3" t="s">
        <v>4814</v>
      </c>
      <c r="AX400" s="3" t="s">
        <v>4814</v>
      </c>
      <c r="AY400" s="3" t="s">
        <v>4815</v>
      </c>
      <c r="AZ400" s="3" t="s">
        <v>75</v>
      </c>
      <c r="BB400" s="3" t="s">
        <v>4816</v>
      </c>
      <c r="BC400" s="3" t="s">
        <v>4817</v>
      </c>
      <c r="BD400" s="3" t="s">
        <v>4818</v>
      </c>
    </row>
    <row r="401" spans="1:56" ht="44.25" customHeight="1" x14ac:dyDescent="0.25">
      <c r="A401" s="7" t="s">
        <v>61</v>
      </c>
      <c r="B401" s="2" t="s">
        <v>4819</v>
      </c>
      <c r="C401" s="2" t="s">
        <v>4820</v>
      </c>
      <c r="D401" s="2" t="s">
        <v>4821</v>
      </c>
      <c r="F401" s="3" t="s">
        <v>61</v>
      </c>
      <c r="G401" s="3" t="s">
        <v>60</v>
      </c>
      <c r="H401" s="3" t="s">
        <v>61</v>
      </c>
      <c r="I401" s="3" t="s">
        <v>61</v>
      </c>
      <c r="J401" s="3" t="s">
        <v>62</v>
      </c>
      <c r="K401" s="2" t="s">
        <v>2109</v>
      </c>
      <c r="L401" s="2" t="s">
        <v>4822</v>
      </c>
      <c r="M401" s="3" t="s">
        <v>220</v>
      </c>
      <c r="N401" s="2" t="s">
        <v>4823</v>
      </c>
      <c r="O401" s="3" t="s">
        <v>114</v>
      </c>
      <c r="P401" s="3" t="s">
        <v>235</v>
      </c>
      <c r="R401" s="3" t="s">
        <v>68</v>
      </c>
      <c r="S401" s="4">
        <v>1</v>
      </c>
      <c r="T401" s="4">
        <v>1</v>
      </c>
      <c r="U401" s="5" t="s">
        <v>4824</v>
      </c>
      <c r="V401" s="5" t="s">
        <v>4824</v>
      </c>
      <c r="W401" s="5" t="s">
        <v>2879</v>
      </c>
      <c r="X401" s="5" t="s">
        <v>2879</v>
      </c>
      <c r="Y401" s="4">
        <v>253</v>
      </c>
      <c r="Z401" s="4">
        <v>200</v>
      </c>
      <c r="AA401" s="4">
        <v>1336</v>
      </c>
      <c r="AB401" s="4">
        <v>3</v>
      </c>
      <c r="AC401" s="4">
        <v>12</v>
      </c>
      <c r="AD401" s="4">
        <v>4</v>
      </c>
      <c r="AE401" s="4">
        <v>50</v>
      </c>
      <c r="AF401" s="4">
        <v>1</v>
      </c>
      <c r="AG401" s="4">
        <v>21</v>
      </c>
      <c r="AH401" s="4">
        <v>1</v>
      </c>
      <c r="AI401" s="4">
        <v>9</v>
      </c>
      <c r="AJ401" s="4">
        <v>3</v>
      </c>
      <c r="AK401" s="4">
        <v>22</v>
      </c>
      <c r="AL401" s="4">
        <v>1</v>
      </c>
      <c r="AM401" s="4">
        <v>10</v>
      </c>
      <c r="AN401" s="4">
        <v>0</v>
      </c>
      <c r="AO401" s="4">
        <v>0</v>
      </c>
      <c r="AP401" s="3" t="s">
        <v>61</v>
      </c>
      <c r="AQ401" s="3" t="s">
        <v>61</v>
      </c>
      <c r="AS401" s="6" t="str">
        <f>HYPERLINK("https://creighton-primo.hosted.exlibrisgroup.com/primo-explore/search?tab=default_tab&amp;search_scope=EVERYTHING&amp;vid=01CRU&amp;lang=en_US&amp;offset=0&amp;query=any,contains,991004148909702656","Catalog Record")</f>
        <v>Catalog Record</v>
      </c>
      <c r="AT401" s="6" t="str">
        <f>HYPERLINK("http://www.worldcat.org/oclc/47755980","WorldCat Record")</f>
        <v>WorldCat Record</v>
      </c>
      <c r="AU401" s="3" t="s">
        <v>4825</v>
      </c>
      <c r="AV401" s="3" t="s">
        <v>4826</v>
      </c>
      <c r="AW401" s="3" t="s">
        <v>4827</v>
      </c>
      <c r="AX401" s="3" t="s">
        <v>4827</v>
      </c>
      <c r="AY401" s="3" t="s">
        <v>4828</v>
      </c>
      <c r="AZ401" s="3" t="s">
        <v>75</v>
      </c>
      <c r="BB401" s="3" t="s">
        <v>4829</v>
      </c>
      <c r="BC401" s="3" t="s">
        <v>4830</v>
      </c>
      <c r="BD401" s="3" t="s">
        <v>4831</v>
      </c>
    </row>
    <row r="402" spans="1:56" ht="44.25" customHeight="1" x14ac:dyDescent="0.25">
      <c r="A402" s="7" t="s">
        <v>61</v>
      </c>
      <c r="B402" s="2" t="s">
        <v>4832</v>
      </c>
      <c r="C402" s="2" t="s">
        <v>4833</v>
      </c>
      <c r="D402" s="2" t="s">
        <v>4834</v>
      </c>
      <c r="F402" s="3" t="s">
        <v>61</v>
      </c>
      <c r="G402" s="3" t="s">
        <v>60</v>
      </c>
      <c r="H402" s="3" t="s">
        <v>61</v>
      </c>
      <c r="I402" s="3" t="s">
        <v>61</v>
      </c>
      <c r="J402" s="3" t="s">
        <v>62</v>
      </c>
      <c r="K402" s="2" t="s">
        <v>4835</v>
      </c>
      <c r="L402" s="2" t="s">
        <v>4836</v>
      </c>
      <c r="M402" s="3" t="s">
        <v>379</v>
      </c>
      <c r="O402" s="3" t="s">
        <v>114</v>
      </c>
      <c r="P402" s="3" t="s">
        <v>235</v>
      </c>
      <c r="R402" s="3" t="s">
        <v>68</v>
      </c>
      <c r="S402" s="4">
        <v>1</v>
      </c>
      <c r="T402" s="4">
        <v>1</v>
      </c>
      <c r="U402" s="5" t="s">
        <v>4837</v>
      </c>
      <c r="V402" s="5" t="s">
        <v>4837</v>
      </c>
      <c r="W402" s="5" t="s">
        <v>4837</v>
      </c>
      <c r="X402" s="5" t="s">
        <v>4837</v>
      </c>
      <c r="Y402" s="4">
        <v>199</v>
      </c>
      <c r="Z402" s="4">
        <v>150</v>
      </c>
      <c r="AA402" s="4">
        <v>201</v>
      </c>
      <c r="AB402" s="4">
        <v>2</v>
      </c>
      <c r="AC402" s="4">
        <v>2</v>
      </c>
      <c r="AD402" s="4">
        <v>6</v>
      </c>
      <c r="AE402" s="4">
        <v>7</v>
      </c>
      <c r="AF402" s="4">
        <v>0</v>
      </c>
      <c r="AG402" s="4">
        <v>1</v>
      </c>
      <c r="AH402" s="4">
        <v>3</v>
      </c>
      <c r="AI402" s="4">
        <v>3</v>
      </c>
      <c r="AJ402" s="4">
        <v>4</v>
      </c>
      <c r="AK402" s="4">
        <v>5</v>
      </c>
      <c r="AL402" s="4">
        <v>1</v>
      </c>
      <c r="AM402" s="4">
        <v>1</v>
      </c>
      <c r="AN402" s="4">
        <v>0</v>
      </c>
      <c r="AO402" s="4">
        <v>0</v>
      </c>
      <c r="AP402" s="3" t="s">
        <v>61</v>
      </c>
      <c r="AQ402" s="3" t="s">
        <v>61</v>
      </c>
      <c r="AS402" s="6" t="str">
        <f>HYPERLINK("https://creighton-primo.hosted.exlibrisgroup.com/primo-explore/search?tab=default_tab&amp;search_scope=EVERYTHING&amp;vid=01CRU&amp;lang=en_US&amp;offset=0&amp;query=any,contains,991003655059702656","Catalog Record")</f>
        <v>Catalog Record</v>
      </c>
      <c r="AT402" s="6" t="str">
        <f>HYPERLINK("http://www.worldcat.org/oclc/39539124","WorldCat Record")</f>
        <v>WorldCat Record</v>
      </c>
      <c r="AU402" s="3" t="s">
        <v>4838</v>
      </c>
      <c r="AV402" s="3" t="s">
        <v>4839</v>
      </c>
      <c r="AW402" s="3" t="s">
        <v>4840</v>
      </c>
      <c r="AX402" s="3" t="s">
        <v>4840</v>
      </c>
      <c r="AY402" s="3" t="s">
        <v>4841</v>
      </c>
      <c r="AZ402" s="3" t="s">
        <v>75</v>
      </c>
      <c r="BB402" s="3" t="s">
        <v>4842</v>
      </c>
      <c r="BC402" s="3" t="s">
        <v>4843</v>
      </c>
      <c r="BD402" s="3" t="s">
        <v>4844</v>
      </c>
    </row>
    <row r="403" spans="1:56" ht="44.25" customHeight="1" x14ac:dyDescent="0.25">
      <c r="A403" s="7" t="s">
        <v>61</v>
      </c>
      <c r="B403" s="2" t="s">
        <v>4845</v>
      </c>
      <c r="C403" s="2" t="s">
        <v>4846</v>
      </c>
      <c r="D403" s="2" t="s">
        <v>4847</v>
      </c>
      <c r="F403" s="3" t="s">
        <v>61</v>
      </c>
      <c r="G403" s="3" t="s">
        <v>60</v>
      </c>
      <c r="H403" s="3" t="s">
        <v>61</v>
      </c>
      <c r="I403" s="3" t="s">
        <v>61</v>
      </c>
      <c r="J403" s="3" t="s">
        <v>62</v>
      </c>
      <c r="K403" s="2" t="s">
        <v>4848</v>
      </c>
      <c r="L403" s="2" t="s">
        <v>4849</v>
      </c>
      <c r="M403" s="3" t="s">
        <v>220</v>
      </c>
      <c r="O403" s="3" t="s">
        <v>114</v>
      </c>
      <c r="P403" s="3" t="s">
        <v>192</v>
      </c>
      <c r="R403" s="3" t="s">
        <v>68</v>
      </c>
      <c r="S403" s="4">
        <v>1</v>
      </c>
      <c r="T403" s="4">
        <v>1</v>
      </c>
      <c r="U403" s="5" t="s">
        <v>4850</v>
      </c>
      <c r="V403" s="5" t="s">
        <v>4850</v>
      </c>
      <c r="W403" s="5" t="s">
        <v>4850</v>
      </c>
      <c r="X403" s="5" t="s">
        <v>4850</v>
      </c>
      <c r="Y403" s="4">
        <v>367</v>
      </c>
      <c r="Z403" s="4">
        <v>239</v>
      </c>
      <c r="AA403" s="4">
        <v>602</v>
      </c>
      <c r="AB403" s="4">
        <v>2</v>
      </c>
      <c r="AC403" s="4">
        <v>28</v>
      </c>
      <c r="AD403" s="4">
        <v>17</v>
      </c>
      <c r="AE403" s="4">
        <v>28</v>
      </c>
      <c r="AF403" s="4">
        <v>8</v>
      </c>
      <c r="AG403" s="4">
        <v>10</v>
      </c>
      <c r="AH403" s="4">
        <v>5</v>
      </c>
      <c r="AI403" s="4">
        <v>5</v>
      </c>
      <c r="AJ403" s="4">
        <v>8</v>
      </c>
      <c r="AK403" s="4">
        <v>9</v>
      </c>
      <c r="AL403" s="4">
        <v>1</v>
      </c>
      <c r="AM403" s="4">
        <v>9</v>
      </c>
      <c r="AN403" s="4">
        <v>0</v>
      </c>
      <c r="AO403" s="4">
        <v>0</v>
      </c>
      <c r="AP403" s="3" t="s">
        <v>61</v>
      </c>
      <c r="AQ403" s="3" t="s">
        <v>61</v>
      </c>
      <c r="AS403" s="6" t="str">
        <f>HYPERLINK("https://creighton-primo.hosted.exlibrisgroup.com/primo-explore/search?tab=default_tab&amp;search_scope=EVERYTHING&amp;vid=01CRU&amp;lang=en_US&amp;offset=0&amp;query=any,contains,991004189269702656","Catalog Record")</f>
        <v>Catalog Record</v>
      </c>
      <c r="AT403" s="6" t="str">
        <f>HYPERLINK("http://www.worldcat.org/oclc/60172623","WorldCat Record")</f>
        <v>WorldCat Record</v>
      </c>
      <c r="AU403" s="3" t="s">
        <v>4851</v>
      </c>
      <c r="AV403" s="3" t="s">
        <v>4852</v>
      </c>
      <c r="AW403" s="3" t="s">
        <v>4853</v>
      </c>
      <c r="AX403" s="3" t="s">
        <v>4853</v>
      </c>
      <c r="AY403" s="3" t="s">
        <v>4854</v>
      </c>
      <c r="AZ403" s="3" t="s">
        <v>75</v>
      </c>
      <c r="BB403" s="3" t="s">
        <v>4855</v>
      </c>
      <c r="BC403" s="3" t="s">
        <v>4856</v>
      </c>
      <c r="BD403" s="3" t="s">
        <v>4857</v>
      </c>
    </row>
    <row r="404" spans="1:56" ht="44.25" customHeight="1" x14ac:dyDescent="0.25">
      <c r="A404" s="7" t="s">
        <v>61</v>
      </c>
      <c r="B404" s="2" t="s">
        <v>4858</v>
      </c>
      <c r="C404" s="2" t="s">
        <v>4859</v>
      </c>
      <c r="D404" s="2" t="s">
        <v>4860</v>
      </c>
      <c r="F404" s="3" t="s">
        <v>61</v>
      </c>
      <c r="G404" s="3" t="s">
        <v>60</v>
      </c>
      <c r="H404" s="3" t="s">
        <v>61</v>
      </c>
      <c r="I404" s="3" t="s">
        <v>61</v>
      </c>
      <c r="J404" s="3" t="s">
        <v>62</v>
      </c>
      <c r="K404" s="2" t="s">
        <v>4861</v>
      </c>
      <c r="L404" s="2" t="s">
        <v>4862</v>
      </c>
      <c r="M404" s="3" t="s">
        <v>4478</v>
      </c>
      <c r="O404" s="3" t="s">
        <v>114</v>
      </c>
      <c r="P404" s="3" t="s">
        <v>235</v>
      </c>
      <c r="R404" s="3" t="s">
        <v>68</v>
      </c>
      <c r="S404" s="4">
        <v>2</v>
      </c>
      <c r="T404" s="4">
        <v>2</v>
      </c>
      <c r="U404" s="5" t="s">
        <v>4863</v>
      </c>
      <c r="V404" s="5" t="s">
        <v>4863</v>
      </c>
      <c r="W404" s="5" t="s">
        <v>4864</v>
      </c>
      <c r="X404" s="5" t="s">
        <v>4864</v>
      </c>
      <c r="Y404" s="4">
        <v>467</v>
      </c>
      <c r="Z404" s="4">
        <v>446</v>
      </c>
      <c r="AA404" s="4">
        <v>454</v>
      </c>
      <c r="AB404" s="4">
        <v>4</v>
      </c>
      <c r="AC404" s="4">
        <v>4</v>
      </c>
      <c r="AD404" s="4">
        <v>24</v>
      </c>
      <c r="AE404" s="4">
        <v>25</v>
      </c>
      <c r="AF404" s="4">
        <v>7</v>
      </c>
      <c r="AG404" s="4">
        <v>7</v>
      </c>
      <c r="AH404" s="4">
        <v>7</v>
      </c>
      <c r="AI404" s="4">
        <v>7</v>
      </c>
      <c r="AJ404" s="4">
        <v>15</v>
      </c>
      <c r="AK404" s="4">
        <v>16</v>
      </c>
      <c r="AL404" s="4">
        <v>3</v>
      </c>
      <c r="AM404" s="4">
        <v>3</v>
      </c>
      <c r="AN404" s="4">
        <v>0</v>
      </c>
      <c r="AO404" s="4">
        <v>0</v>
      </c>
      <c r="AP404" s="3" t="s">
        <v>61</v>
      </c>
      <c r="AQ404" s="3" t="s">
        <v>59</v>
      </c>
      <c r="AR404" s="6" t="str">
        <f>HYPERLINK("http://catalog.hathitrust.org/Record/000488832","HathiTrust Record")</f>
        <v>HathiTrust Record</v>
      </c>
      <c r="AS404" s="6" t="str">
        <f>HYPERLINK("https://creighton-primo.hosted.exlibrisgroup.com/primo-explore/search?tab=default_tab&amp;search_scope=EVERYTHING&amp;vid=01CRU&amp;lang=en_US&amp;offset=0&amp;query=any,contains,991004833069702656","Catalog Record")</f>
        <v>Catalog Record</v>
      </c>
      <c r="AT404" s="6" t="str">
        <f>HYPERLINK("http://www.worldcat.org/oclc/5418742","WorldCat Record")</f>
        <v>WorldCat Record</v>
      </c>
      <c r="AU404" s="3" t="s">
        <v>4865</v>
      </c>
      <c r="AV404" s="3" t="s">
        <v>4866</v>
      </c>
      <c r="AW404" s="3" t="s">
        <v>4867</v>
      </c>
      <c r="AX404" s="3" t="s">
        <v>4867</v>
      </c>
      <c r="AY404" s="3" t="s">
        <v>4868</v>
      </c>
      <c r="AZ404" s="3" t="s">
        <v>75</v>
      </c>
      <c r="BC404" s="3" t="s">
        <v>4869</v>
      </c>
      <c r="BD404" s="3" t="s">
        <v>4870</v>
      </c>
    </row>
    <row r="405" spans="1:56" ht="44.25" customHeight="1" x14ac:dyDescent="0.25">
      <c r="A405" s="7" t="s">
        <v>61</v>
      </c>
      <c r="B405" s="2" t="s">
        <v>4871</v>
      </c>
      <c r="C405" s="2" t="s">
        <v>4872</v>
      </c>
      <c r="D405" s="2" t="s">
        <v>4873</v>
      </c>
      <c r="F405" s="3" t="s">
        <v>61</v>
      </c>
      <c r="G405" s="3" t="s">
        <v>60</v>
      </c>
      <c r="H405" s="3" t="s">
        <v>61</v>
      </c>
      <c r="I405" s="3" t="s">
        <v>61</v>
      </c>
      <c r="J405" s="3" t="s">
        <v>62</v>
      </c>
      <c r="K405" s="2" t="s">
        <v>4874</v>
      </c>
      <c r="L405" s="2" t="s">
        <v>4875</v>
      </c>
      <c r="M405" s="3" t="s">
        <v>407</v>
      </c>
      <c r="O405" s="3" t="s">
        <v>114</v>
      </c>
      <c r="P405" s="3" t="s">
        <v>235</v>
      </c>
      <c r="R405" s="3" t="s">
        <v>68</v>
      </c>
      <c r="S405" s="4">
        <v>3</v>
      </c>
      <c r="T405" s="4">
        <v>3</v>
      </c>
      <c r="U405" s="5" t="s">
        <v>3366</v>
      </c>
      <c r="V405" s="5" t="s">
        <v>3366</v>
      </c>
      <c r="W405" s="5" t="s">
        <v>4876</v>
      </c>
      <c r="X405" s="5" t="s">
        <v>4876</v>
      </c>
      <c r="Y405" s="4">
        <v>278</v>
      </c>
      <c r="Z405" s="4">
        <v>226</v>
      </c>
      <c r="AA405" s="4">
        <v>255</v>
      </c>
      <c r="AB405" s="4">
        <v>2</v>
      </c>
      <c r="AC405" s="4">
        <v>2</v>
      </c>
      <c r="AD405" s="4">
        <v>9</v>
      </c>
      <c r="AE405" s="4">
        <v>10</v>
      </c>
      <c r="AF405" s="4">
        <v>3</v>
      </c>
      <c r="AG405" s="4">
        <v>3</v>
      </c>
      <c r="AH405" s="4">
        <v>2</v>
      </c>
      <c r="AI405" s="4">
        <v>3</v>
      </c>
      <c r="AJ405" s="4">
        <v>6</v>
      </c>
      <c r="AK405" s="4">
        <v>7</v>
      </c>
      <c r="AL405" s="4">
        <v>1</v>
      </c>
      <c r="AM405" s="4">
        <v>1</v>
      </c>
      <c r="AN405" s="4">
        <v>0</v>
      </c>
      <c r="AO405" s="4">
        <v>0</v>
      </c>
      <c r="AP405" s="3" t="s">
        <v>61</v>
      </c>
      <c r="AQ405" s="3" t="s">
        <v>61</v>
      </c>
      <c r="AS405" s="6" t="str">
        <f>HYPERLINK("https://creighton-primo.hosted.exlibrisgroup.com/primo-explore/search?tab=default_tab&amp;search_scope=EVERYTHING&amp;vid=01CRU&amp;lang=en_US&amp;offset=0&amp;query=any,contains,991002346929702656","Catalog Record")</f>
        <v>Catalog Record</v>
      </c>
      <c r="AT405" s="6" t="str">
        <f>HYPERLINK("http://www.worldcat.org/oclc/30547810","WorldCat Record")</f>
        <v>WorldCat Record</v>
      </c>
      <c r="AU405" s="3" t="s">
        <v>4877</v>
      </c>
      <c r="AV405" s="3" t="s">
        <v>4878</v>
      </c>
      <c r="AW405" s="3" t="s">
        <v>4879</v>
      </c>
      <c r="AX405" s="3" t="s">
        <v>4879</v>
      </c>
      <c r="AY405" s="3" t="s">
        <v>4880</v>
      </c>
      <c r="AZ405" s="3" t="s">
        <v>75</v>
      </c>
      <c r="BB405" s="3" t="s">
        <v>4881</v>
      </c>
      <c r="BC405" s="3" t="s">
        <v>4882</v>
      </c>
      <c r="BD405" s="3" t="s">
        <v>4883</v>
      </c>
    </row>
    <row r="406" spans="1:56" ht="44.25" customHeight="1" x14ac:dyDescent="0.25">
      <c r="A406" s="7" t="s">
        <v>61</v>
      </c>
      <c r="B406" s="2" t="s">
        <v>4884</v>
      </c>
      <c r="C406" s="2" t="s">
        <v>4885</v>
      </c>
      <c r="D406" s="2" t="s">
        <v>4886</v>
      </c>
      <c r="F406" s="3" t="s">
        <v>61</v>
      </c>
      <c r="G406" s="3" t="s">
        <v>60</v>
      </c>
      <c r="H406" s="3" t="s">
        <v>61</v>
      </c>
      <c r="I406" s="3" t="s">
        <v>61</v>
      </c>
      <c r="J406" s="3" t="s">
        <v>62</v>
      </c>
      <c r="L406" s="2" t="s">
        <v>4887</v>
      </c>
      <c r="M406" s="3" t="s">
        <v>579</v>
      </c>
      <c r="O406" s="3" t="s">
        <v>114</v>
      </c>
      <c r="P406" s="3" t="s">
        <v>1114</v>
      </c>
      <c r="R406" s="3" t="s">
        <v>68</v>
      </c>
      <c r="S406" s="4">
        <v>1</v>
      </c>
      <c r="T406" s="4">
        <v>1</v>
      </c>
      <c r="U406" s="5" t="s">
        <v>2365</v>
      </c>
      <c r="V406" s="5" t="s">
        <v>2365</v>
      </c>
      <c r="W406" s="5" t="s">
        <v>4888</v>
      </c>
      <c r="X406" s="5" t="s">
        <v>4888</v>
      </c>
      <c r="Y406" s="4">
        <v>390</v>
      </c>
      <c r="Z406" s="4">
        <v>251</v>
      </c>
      <c r="AA406" s="4">
        <v>452</v>
      </c>
      <c r="AB406" s="4">
        <v>2</v>
      </c>
      <c r="AC406" s="4">
        <v>2</v>
      </c>
      <c r="AD406" s="4">
        <v>12</v>
      </c>
      <c r="AE406" s="4">
        <v>20</v>
      </c>
      <c r="AF406" s="4">
        <v>3</v>
      </c>
      <c r="AG406" s="4">
        <v>8</v>
      </c>
      <c r="AH406" s="4">
        <v>4</v>
      </c>
      <c r="AI406" s="4">
        <v>6</v>
      </c>
      <c r="AJ406" s="4">
        <v>7</v>
      </c>
      <c r="AK406" s="4">
        <v>12</v>
      </c>
      <c r="AL406" s="4">
        <v>1</v>
      </c>
      <c r="AM406" s="4">
        <v>1</v>
      </c>
      <c r="AN406" s="4">
        <v>0</v>
      </c>
      <c r="AO406" s="4">
        <v>0</v>
      </c>
      <c r="AP406" s="3" t="s">
        <v>61</v>
      </c>
      <c r="AQ406" s="3" t="s">
        <v>61</v>
      </c>
      <c r="AS406" s="6" t="str">
        <f>HYPERLINK("https://creighton-primo.hosted.exlibrisgroup.com/primo-explore/search?tab=default_tab&amp;search_scope=EVERYTHING&amp;vid=01CRU&amp;lang=en_US&amp;offset=0&amp;query=any,contains,991003618349702656","Catalog Record")</f>
        <v>Catalog Record</v>
      </c>
      <c r="AT406" s="6" t="str">
        <f>HYPERLINK("http://www.worldcat.org/oclc/12973337","WorldCat Record")</f>
        <v>WorldCat Record</v>
      </c>
      <c r="AU406" s="3" t="s">
        <v>4889</v>
      </c>
      <c r="AV406" s="3" t="s">
        <v>4890</v>
      </c>
      <c r="AW406" s="3" t="s">
        <v>4891</v>
      </c>
      <c r="AX406" s="3" t="s">
        <v>4891</v>
      </c>
      <c r="AY406" s="3" t="s">
        <v>4892</v>
      </c>
      <c r="AZ406" s="3" t="s">
        <v>75</v>
      </c>
      <c r="BB406" s="3" t="s">
        <v>4893</v>
      </c>
      <c r="BC406" s="3" t="s">
        <v>4894</v>
      </c>
      <c r="BD406" s="3" t="s">
        <v>4895</v>
      </c>
    </row>
    <row r="407" spans="1:56" ht="44.25" customHeight="1" x14ac:dyDescent="0.25">
      <c r="A407" s="7" t="s">
        <v>61</v>
      </c>
      <c r="B407" s="2" t="s">
        <v>4896</v>
      </c>
      <c r="C407" s="2" t="s">
        <v>4897</v>
      </c>
      <c r="D407" s="2" t="s">
        <v>4898</v>
      </c>
      <c r="F407" s="3" t="s">
        <v>61</v>
      </c>
      <c r="G407" s="3" t="s">
        <v>60</v>
      </c>
      <c r="H407" s="3" t="s">
        <v>61</v>
      </c>
      <c r="I407" s="3" t="s">
        <v>61</v>
      </c>
      <c r="J407" s="3" t="s">
        <v>62</v>
      </c>
      <c r="K407" s="2" t="s">
        <v>4899</v>
      </c>
      <c r="L407" s="2" t="s">
        <v>406</v>
      </c>
      <c r="M407" s="3" t="s">
        <v>407</v>
      </c>
      <c r="O407" s="3" t="s">
        <v>114</v>
      </c>
      <c r="P407" s="3" t="s">
        <v>235</v>
      </c>
      <c r="R407" s="3" t="s">
        <v>68</v>
      </c>
      <c r="S407" s="4">
        <v>2</v>
      </c>
      <c r="T407" s="4">
        <v>2</v>
      </c>
      <c r="U407" s="5" t="s">
        <v>4900</v>
      </c>
      <c r="V407" s="5" t="s">
        <v>4900</v>
      </c>
      <c r="W407" s="5" t="s">
        <v>4901</v>
      </c>
      <c r="X407" s="5" t="s">
        <v>4901</v>
      </c>
      <c r="Y407" s="4">
        <v>911</v>
      </c>
      <c r="Z407" s="4">
        <v>750</v>
      </c>
      <c r="AA407" s="4">
        <v>756</v>
      </c>
      <c r="AB407" s="4">
        <v>5</v>
      </c>
      <c r="AC407" s="4">
        <v>5</v>
      </c>
      <c r="AD407" s="4">
        <v>36</v>
      </c>
      <c r="AE407" s="4">
        <v>36</v>
      </c>
      <c r="AF407" s="4">
        <v>15</v>
      </c>
      <c r="AG407" s="4">
        <v>15</v>
      </c>
      <c r="AH407" s="4">
        <v>9</v>
      </c>
      <c r="AI407" s="4">
        <v>9</v>
      </c>
      <c r="AJ407" s="4">
        <v>18</v>
      </c>
      <c r="AK407" s="4">
        <v>18</v>
      </c>
      <c r="AL407" s="4">
        <v>4</v>
      </c>
      <c r="AM407" s="4">
        <v>4</v>
      </c>
      <c r="AN407" s="4">
        <v>1</v>
      </c>
      <c r="AO407" s="4">
        <v>1</v>
      </c>
      <c r="AP407" s="3" t="s">
        <v>61</v>
      </c>
      <c r="AQ407" s="3" t="s">
        <v>61</v>
      </c>
      <c r="AS407" s="6" t="str">
        <f>HYPERLINK("https://creighton-primo.hosted.exlibrisgroup.com/primo-explore/search?tab=default_tab&amp;search_scope=EVERYTHING&amp;vid=01CRU&amp;lang=en_US&amp;offset=0&amp;query=any,contains,991002315129702656","Catalog Record")</f>
        <v>Catalog Record</v>
      </c>
      <c r="AT407" s="6" t="str">
        <f>HYPERLINK("http://www.worldcat.org/oclc/30036219","WorldCat Record")</f>
        <v>WorldCat Record</v>
      </c>
      <c r="AU407" s="3" t="s">
        <v>4902</v>
      </c>
      <c r="AV407" s="3" t="s">
        <v>4903</v>
      </c>
      <c r="AW407" s="3" t="s">
        <v>4904</v>
      </c>
      <c r="AX407" s="3" t="s">
        <v>4904</v>
      </c>
      <c r="AY407" s="3" t="s">
        <v>4905</v>
      </c>
      <c r="AZ407" s="3" t="s">
        <v>75</v>
      </c>
      <c r="BB407" s="3" t="s">
        <v>4906</v>
      </c>
      <c r="BC407" s="3" t="s">
        <v>4907</v>
      </c>
      <c r="BD407" s="3" t="s">
        <v>4908</v>
      </c>
    </row>
    <row r="408" spans="1:56" ht="44.25" customHeight="1" x14ac:dyDescent="0.25">
      <c r="A408" s="7" t="s">
        <v>61</v>
      </c>
      <c r="B408" s="2" t="s">
        <v>4909</v>
      </c>
      <c r="C408" s="2" t="s">
        <v>4910</v>
      </c>
      <c r="D408" s="2" t="s">
        <v>4911</v>
      </c>
      <c r="F408" s="3" t="s">
        <v>61</v>
      </c>
      <c r="G408" s="3" t="s">
        <v>60</v>
      </c>
      <c r="H408" s="3" t="s">
        <v>61</v>
      </c>
      <c r="I408" s="3" t="s">
        <v>61</v>
      </c>
      <c r="J408" s="3" t="s">
        <v>62</v>
      </c>
      <c r="K408" s="2" t="s">
        <v>4912</v>
      </c>
      <c r="L408" s="2" t="s">
        <v>4913</v>
      </c>
      <c r="M408" s="3" t="s">
        <v>4914</v>
      </c>
      <c r="O408" s="3" t="s">
        <v>114</v>
      </c>
      <c r="P408" s="3" t="s">
        <v>67</v>
      </c>
      <c r="R408" s="3" t="s">
        <v>68</v>
      </c>
      <c r="S408" s="4">
        <v>2</v>
      </c>
      <c r="T408" s="4">
        <v>2</v>
      </c>
      <c r="U408" s="5" t="s">
        <v>3700</v>
      </c>
      <c r="V408" s="5" t="s">
        <v>3700</v>
      </c>
      <c r="W408" s="5" t="s">
        <v>4915</v>
      </c>
      <c r="X408" s="5" t="s">
        <v>4915</v>
      </c>
      <c r="Y408" s="4">
        <v>187</v>
      </c>
      <c r="Z408" s="4">
        <v>169</v>
      </c>
      <c r="AA408" s="4">
        <v>270</v>
      </c>
      <c r="AB408" s="4">
        <v>2</v>
      </c>
      <c r="AC408" s="4">
        <v>3</v>
      </c>
      <c r="AD408" s="4">
        <v>2</v>
      </c>
      <c r="AE408" s="4">
        <v>9</v>
      </c>
      <c r="AF408" s="4">
        <v>0</v>
      </c>
      <c r="AG408" s="4">
        <v>2</v>
      </c>
      <c r="AH408" s="4">
        <v>0</v>
      </c>
      <c r="AI408" s="4">
        <v>2</v>
      </c>
      <c r="AJ408" s="4">
        <v>1</v>
      </c>
      <c r="AK408" s="4">
        <v>1</v>
      </c>
      <c r="AL408" s="4">
        <v>1</v>
      </c>
      <c r="AM408" s="4">
        <v>2</v>
      </c>
      <c r="AN408" s="4">
        <v>0</v>
      </c>
      <c r="AO408" s="4">
        <v>2</v>
      </c>
      <c r="AP408" s="3" t="s">
        <v>59</v>
      </c>
      <c r="AQ408" s="3" t="s">
        <v>61</v>
      </c>
      <c r="AR408" s="6" t="str">
        <f>HYPERLINK("http://catalog.hathitrust.org/Record/000399655","HathiTrust Record")</f>
        <v>HathiTrust Record</v>
      </c>
      <c r="AS408" s="6" t="str">
        <f>HYPERLINK("https://creighton-primo.hosted.exlibrisgroup.com/primo-explore/search?tab=default_tab&amp;search_scope=EVERYTHING&amp;vid=01CRU&amp;lang=en_US&amp;offset=0&amp;query=any,contains,991003676449702656","Catalog Record")</f>
        <v>Catalog Record</v>
      </c>
      <c r="AT408" s="6" t="str">
        <f>HYPERLINK("http://www.worldcat.org/oclc/1297794","WorldCat Record")</f>
        <v>WorldCat Record</v>
      </c>
      <c r="AU408" s="3" t="s">
        <v>4916</v>
      </c>
      <c r="AV408" s="3" t="s">
        <v>4917</v>
      </c>
      <c r="AW408" s="3" t="s">
        <v>4918</v>
      </c>
      <c r="AX408" s="3" t="s">
        <v>4918</v>
      </c>
      <c r="AY408" s="3" t="s">
        <v>4919</v>
      </c>
      <c r="AZ408" s="3" t="s">
        <v>75</v>
      </c>
      <c r="BC408" s="3" t="s">
        <v>4920</v>
      </c>
      <c r="BD408" s="3" t="s">
        <v>4921</v>
      </c>
    </row>
    <row r="409" spans="1:56" ht="44.25" customHeight="1" x14ac:dyDescent="0.25">
      <c r="A409" s="7" t="s">
        <v>61</v>
      </c>
      <c r="B409" s="2" t="s">
        <v>4922</v>
      </c>
      <c r="C409" s="2" t="s">
        <v>4923</v>
      </c>
      <c r="D409" s="2" t="s">
        <v>4924</v>
      </c>
      <c r="F409" s="3" t="s">
        <v>61</v>
      </c>
      <c r="G409" s="3" t="s">
        <v>60</v>
      </c>
      <c r="H409" s="3" t="s">
        <v>61</v>
      </c>
      <c r="I409" s="3" t="s">
        <v>61</v>
      </c>
      <c r="J409" s="3" t="s">
        <v>62</v>
      </c>
      <c r="K409" s="2" t="s">
        <v>4925</v>
      </c>
      <c r="L409" s="2" t="s">
        <v>4926</v>
      </c>
      <c r="M409" s="3" t="s">
        <v>263</v>
      </c>
      <c r="O409" s="3" t="s">
        <v>114</v>
      </c>
      <c r="P409" s="3" t="s">
        <v>235</v>
      </c>
      <c r="R409" s="3" t="s">
        <v>68</v>
      </c>
      <c r="S409" s="4">
        <v>2</v>
      </c>
      <c r="T409" s="4">
        <v>2</v>
      </c>
      <c r="U409" s="5" t="s">
        <v>4927</v>
      </c>
      <c r="V409" s="5" t="s">
        <v>4927</v>
      </c>
      <c r="W409" s="5" t="s">
        <v>4208</v>
      </c>
      <c r="X409" s="5" t="s">
        <v>4208</v>
      </c>
      <c r="Y409" s="4">
        <v>1532</v>
      </c>
      <c r="Z409" s="4">
        <v>1430</v>
      </c>
      <c r="AA409" s="4">
        <v>1528</v>
      </c>
      <c r="AB409" s="4">
        <v>8</v>
      </c>
      <c r="AC409" s="4">
        <v>8</v>
      </c>
      <c r="AD409" s="4">
        <v>30</v>
      </c>
      <c r="AE409" s="4">
        <v>33</v>
      </c>
      <c r="AF409" s="4">
        <v>14</v>
      </c>
      <c r="AG409" s="4">
        <v>15</v>
      </c>
      <c r="AH409" s="4">
        <v>6</v>
      </c>
      <c r="AI409" s="4">
        <v>7</v>
      </c>
      <c r="AJ409" s="4">
        <v>13</v>
      </c>
      <c r="AK409" s="4">
        <v>15</v>
      </c>
      <c r="AL409" s="4">
        <v>5</v>
      </c>
      <c r="AM409" s="4">
        <v>5</v>
      </c>
      <c r="AN409" s="4">
        <v>0</v>
      </c>
      <c r="AO409" s="4">
        <v>0</v>
      </c>
      <c r="AP409" s="3" t="s">
        <v>61</v>
      </c>
      <c r="AQ409" s="3" t="s">
        <v>61</v>
      </c>
      <c r="AS409" s="6" t="str">
        <f>HYPERLINK("https://creighton-primo.hosted.exlibrisgroup.com/primo-explore/search?tab=default_tab&amp;search_scope=EVERYTHING&amp;vid=01CRU&amp;lang=en_US&amp;offset=0&amp;query=any,contains,991005237499702656","Catalog Record")</f>
        <v>Catalog Record</v>
      </c>
      <c r="AT409" s="6" t="str">
        <f>HYPERLINK("http://www.worldcat.org/oclc/8388377","WorldCat Record")</f>
        <v>WorldCat Record</v>
      </c>
      <c r="AU409" s="3" t="s">
        <v>4928</v>
      </c>
      <c r="AV409" s="3" t="s">
        <v>4929</v>
      </c>
      <c r="AW409" s="3" t="s">
        <v>4930</v>
      </c>
      <c r="AX409" s="3" t="s">
        <v>4930</v>
      </c>
      <c r="AY409" s="3" t="s">
        <v>4931</v>
      </c>
      <c r="AZ409" s="3" t="s">
        <v>75</v>
      </c>
      <c r="BB409" s="3" t="s">
        <v>4932</v>
      </c>
      <c r="BC409" s="3" t="s">
        <v>4933</v>
      </c>
      <c r="BD409" s="3" t="s">
        <v>4934</v>
      </c>
    </row>
    <row r="410" spans="1:56" ht="44.25" customHeight="1" x14ac:dyDescent="0.25">
      <c r="A410" s="7" t="s">
        <v>61</v>
      </c>
      <c r="B410" s="2" t="s">
        <v>4935</v>
      </c>
      <c r="C410" s="2" t="s">
        <v>4936</v>
      </c>
      <c r="D410" s="2" t="s">
        <v>4937</v>
      </c>
      <c r="F410" s="3" t="s">
        <v>61</v>
      </c>
      <c r="G410" s="3" t="s">
        <v>60</v>
      </c>
      <c r="H410" s="3" t="s">
        <v>61</v>
      </c>
      <c r="I410" s="3" t="s">
        <v>61</v>
      </c>
      <c r="J410" s="3" t="s">
        <v>62</v>
      </c>
      <c r="K410" s="2" t="s">
        <v>4938</v>
      </c>
      <c r="L410" s="2" t="s">
        <v>4939</v>
      </c>
      <c r="M410" s="3" t="s">
        <v>536</v>
      </c>
      <c r="O410" s="3" t="s">
        <v>114</v>
      </c>
      <c r="P410" s="3" t="s">
        <v>364</v>
      </c>
      <c r="Q410" s="2" t="s">
        <v>4940</v>
      </c>
      <c r="R410" s="3" t="s">
        <v>68</v>
      </c>
      <c r="S410" s="4">
        <v>2</v>
      </c>
      <c r="T410" s="4">
        <v>2</v>
      </c>
      <c r="U410" s="5" t="s">
        <v>510</v>
      </c>
      <c r="V410" s="5" t="s">
        <v>510</v>
      </c>
      <c r="W410" s="5" t="s">
        <v>2502</v>
      </c>
      <c r="X410" s="5" t="s">
        <v>2502</v>
      </c>
      <c r="Y410" s="4">
        <v>169</v>
      </c>
      <c r="Z410" s="4">
        <v>115</v>
      </c>
      <c r="AA410" s="4">
        <v>643</v>
      </c>
      <c r="AB410" s="4">
        <v>5</v>
      </c>
      <c r="AC410" s="4">
        <v>10</v>
      </c>
      <c r="AD410" s="4">
        <v>6</v>
      </c>
      <c r="AE410" s="4">
        <v>31</v>
      </c>
      <c r="AF410" s="4">
        <v>0</v>
      </c>
      <c r="AG410" s="4">
        <v>8</v>
      </c>
      <c r="AH410" s="4">
        <v>0</v>
      </c>
      <c r="AI410" s="4">
        <v>9</v>
      </c>
      <c r="AJ410" s="4">
        <v>3</v>
      </c>
      <c r="AK410" s="4">
        <v>12</v>
      </c>
      <c r="AL410" s="4">
        <v>3</v>
      </c>
      <c r="AM410" s="4">
        <v>7</v>
      </c>
      <c r="AN410" s="4">
        <v>0</v>
      </c>
      <c r="AO410" s="4">
        <v>1</v>
      </c>
      <c r="AP410" s="3" t="s">
        <v>61</v>
      </c>
      <c r="AQ410" s="3" t="s">
        <v>61</v>
      </c>
      <c r="AS410" s="6" t="str">
        <f>HYPERLINK("https://creighton-primo.hosted.exlibrisgroup.com/primo-explore/search?tab=default_tab&amp;search_scope=EVERYTHING&amp;vid=01CRU&amp;lang=en_US&amp;offset=0&amp;query=any,contains,991003994929702656","Catalog Record")</f>
        <v>Catalog Record</v>
      </c>
      <c r="AT410" s="6" t="str">
        <f>HYPERLINK("http://www.worldcat.org/oclc/35808395","WorldCat Record")</f>
        <v>WorldCat Record</v>
      </c>
      <c r="AU410" s="3" t="s">
        <v>4941</v>
      </c>
      <c r="AV410" s="3" t="s">
        <v>4942</v>
      </c>
      <c r="AW410" s="3" t="s">
        <v>4943</v>
      </c>
      <c r="AX410" s="3" t="s">
        <v>4943</v>
      </c>
      <c r="AY410" s="3" t="s">
        <v>4944</v>
      </c>
      <c r="AZ410" s="3" t="s">
        <v>75</v>
      </c>
      <c r="BB410" s="3" t="s">
        <v>4945</v>
      </c>
      <c r="BC410" s="3" t="s">
        <v>4946</v>
      </c>
      <c r="BD410" s="3" t="s">
        <v>4947</v>
      </c>
    </row>
    <row r="411" spans="1:56" ht="44.25" customHeight="1" x14ac:dyDescent="0.25">
      <c r="A411" s="7" t="s">
        <v>61</v>
      </c>
      <c r="B411" s="2" t="s">
        <v>4948</v>
      </c>
      <c r="C411" s="2" t="s">
        <v>4949</v>
      </c>
      <c r="D411" s="2" t="s">
        <v>4950</v>
      </c>
      <c r="F411" s="3" t="s">
        <v>61</v>
      </c>
      <c r="G411" s="3" t="s">
        <v>60</v>
      </c>
      <c r="H411" s="3" t="s">
        <v>61</v>
      </c>
      <c r="I411" s="3" t="s">
        <v>61</v>
      </c>
      <c r="J411" s="3" t="s">
        <v>62</v>
      </c>
      <c r="L411" s="2" t="s">
        <v>4951</v>
      </c>
      <c r="M411" s="3" t="s">
        <v>422</v>
      </c>
      <c r="O411" s="3" t="s">
        <v>114</v>
      </c>
      <c r="P411" s="3" t="s">
        <v>2432</v>
      </c>
      <c r="R411" s="3" t="s">
        <v>68</v>
      </c>
      <c r="S411" s="4">
        <v>1</v>
      </c>
      <c r="T411" s="4">
        <v>1</v>
      </c>
      <c r="U411" s="5" t="s">
        <v>4952</v>
      </c>
      <c r="V411" s="5" t="s">
        <v>4952</v>
      </c>
      <c r="W411" s="5" t="s">
        <v>4953</v>
      </c>
      <c r="X411" s="5" t="s">
        <v>4953</v>
      </c>
      <c r="Y411" s="4">
        <v>280</v>
      </c>
      <c r="Z411" s="4">
        <v>202</v>
      </c>
      <c r="AA411" s="4">
        <v>208</v>
      </c>
      <c r="AB411" s="4">
        <v>2</v>
      </c>
      <c r="AC411" s="4">
        <v>2</v>
      </c>
      <c r="AD411" s="4">
        <v>12</v>
      </c>
      <c r="AE411" s="4">
        <v>12</v>
      </c>
      <c r="AF411" s="4">
        <v>2</v>
      </c>
      <c r="AG411" s="4">
        <v>2</v>
      </c>
      <c r="AH411" s="4">
        <v>5</v>
      </c>
      <c r="AI411" s="4">
        <v>5</v>
      </c>
      <c r="AJ411" s="4">
        <v>8</v>
      </c>
      <c r="AK411" s="4">
        <v>8</v>
      </c>
      <c r="AL411" s="4">
        <v>1</v>
      </c>
      <c r="AM411" s="4">
        <v>1</v>
      </c>
      <c r="AN411" s="4">
        <v>0</v>
      </c>
      <c r="AO411" s="4">
        <v>0</v>
      </c>
      <c r="AP411" s="3" t="s">
        <v>61</v>
      </c>
      <c r="AQ411" s="3" t="s">
        <v>59</v>
      </c>
      <c r="AR411" s="6" t="str">
        <f>HYPERLINK("http://catalog.hathitrust.org/Record/003977483","HathiTrust Record")</f>
        <v>HathiTrust Record</v>
      </c>
      <c r="AS411" s="6" t="str">
        <f>HYPERLINK("https://creighton-primo.hosted.exlibrisgroup.com/primo-explore/search?tab=default_tab&amp;search_scope=EVERYTHING&amp;vid=01CRU&amp;lang=en_US&amp;offset=0&amp;query=any,contains,991002938089702656","Catalog Record")</f>
        <v>Catalog Record</v>
      </c>
      <c r="AT411" s="6" t="str">
        <f>HYPERLINK("http://www.worldcat.org/oclc/39085313","WorldCat Record")</f>
        <v>WorldCat Record</v>
      </c>
      <c r="AU411" s="3" t="s">
        <v>4954</v>
      </c>
      <c r="AV411" s="3" t="s">
        <v>4955</v>
      </c>
      <c r="AW411" s="3" t="s">
        <v>4956</v>
      </c>
      <c r="AX411" s="3" t="s">
        <v>4956</v>
      </c>
      <c r="AY411" s="3" t="s">
        <v>4957</v>
      </c>
      <c r="AZ411" s="3" t="s">
        <v>75</v>
      </c>
      <c r="BB411" s="3" t="s">
        <v>4958</v>
      </c>
      <c r="BC411" s="3" t="s">
        <v>4959</v>
      </c>
      <c r="BD411" s="3" t="s">
        <v>4960</v>
      </c>
    </row>
    <row r="412" spans="1:56" ht="44.25" customHeight="1" x14ac:dyDescent="0.25">
      <c r="A412" s="7" t="s">
        <v>61</v>
      </c>
      <c r="B412" s="2" t="s">
        <v>4961</v>
      </c>
      <c r="C412" s="2" t="s">
        <v>4962</v>
      </c>
      <c r="D412" s="2" t="s">
        <v>4963</v>
      </c>
      <c r="F412" s="3" t="s">
        <v>61</v>
      </c>
      <c r="G412" s="3" t="s">
        <v>60</v>
      </c>
      <c r="H412" s="3" t="s">
        <v>61</v>
      </c>
      <c r="I412" s="3" t="s">
        <v>61</v>
      </c>
      <c r="J412" s="3" t="s">
        <v>62</v>
      </c>
      <c r="K412" s="2" t="s">
        <v>4964</v>
      </c>
      <c r="L412" s="2" t="s">
        <v>4965</v>
      </c>
      <c r="M412" s="3" t="s">
        <v>263</v>
      </c>
      <c r="O412" s="3" t="s">
        <v>114</v>
      </c>
      <c r="P412" s="3" t="s">
        <v>235</v>
      </c>
      <c r="R412" s="3" t="s">
        <v>68</v>
      </c>
      <c r="S412" s="4">
        <v>4</v>
      </c>
      <c r="T412" s="4">
        <v>4</v>
      </c>
      <c r="U412" s="5" t="s">
        <v>4966</v>
      </c>
      <c r="V412" s="5" t="s">
        <v>4966</v>
      </c>
      <c r="W412" s="5" t="s">
        <v>4208</v>
      </c>
      <c r="X412" s="5" t="s">
        <v>4208</v>
      </c>
      <c r="Y412" s="4">
        <v>329</v>
      </c>
      <c r="Z412" s="4">
        <v>298</v>
      </c>
      <c r="AA412" s="4">
        <v>358</v>
      </c>
      <c r="AB412" s="4">
        <v>2</v>
      </c>
      <c r="AC412" s="4">
        <v>4</v>
      </c>
      <c r="AD412" s="4">
        <v>14</v>
      </c>
      <c r="AE412" s="4">
        <v>16</v>
      </c>
      <c r="AF412" s="4">
        <v>6</v>
      </c>
      <c r="AG412" s="4">
        <v>6</v>
      </c>
      <c r="AH412" s="4">
        <v>3</v>
      </c>
      <c r="AI412" s="4">
        <v>3</v>
      </c>
      <c r="AJ412" s="4">
        <v>9</v>
      </c>
      <c r="AK412" s="4">
        <v>9</v>
      </c>
      <c r="AL412" s="4">
        <v>1</v>
      </c>
      <c r="AM412" s="4">
        <v>3</v>
      </c>
      <c r="AN412" s="4">
        <v>0</v>
      </c>
      <c r="AO412" s="4">
        <v>0</v>
      </c>
      <c r="AP412" s="3" t="s">
        <v>61</v>
      </c>
      <c r="AQ412" s="3" t="s">
        <v>59</v>
      </c>
      <c r="AR412" s="6" t="str">
        <f>HYPERLINK("http://catalog.hathitrust.org/Record/007555008","HathiTrust Record")</f>
        <v>HathiTrust Record</v>
      </c>
      <c r="AS412" s="6" t="str">
        <f>HYPERLINK("https://creighton-primo.hosted.exlibrisgroup.com/primo-explore/search?tab=default_tab&amp;search_scope=EVERYTHING&amp;vid=01CRU&amp;lang=en_US&amp;offset=0&amp;query=any,contains,991000064159702656","Catalog Record")</f>
        <v>Catalog Record</v>
      </c>
      <c r="AT412" s="6" t="str">
        <f>HYPERLINK("http://www.worldcat.org/oclc/8762573","WorldCat Record")</f>
        <v>WorldCat Record</v>
      </c>
      <c r="AU412" s="3" t="s">
        <v>4967</v>
      </c>
      <c r="AV412" s="3" t="s">
        <v>4968</v>
      </c>
      <c r="AW412" s="3" t="s">
        <v>4969</v>
      </c>
      <c r="AX412" s="3" t="s">
        <v>4969</v>
      </c>
      <c r="AY412" s="3" t="s">
        <v>4970</v>
      </c>
      <c r="AZ412" s="3" t="s">
        <v>75</v>
      </c>
      <c r="BB412" s="3" t="s">
        <v>4971</v>
      </c>
      <c r="BC412" s="3" t="s">
        <v>4972</v>
      </c>
      <c r="BD412" s="3" t="s">
        <v>4973</v>
      </c>
    </row>
    <row r="413" spans="1:56" ht="44.25" customHeight="1" x14ac:dyDescent="0.25">
      <c r="A413" s="7" t="s">
        <v>61</v>
      </c>
      <c r="B413" s="2" t="s">
        <v>4974</v>
      </c>
      <c r="C413" s="2" t="s">
        <v>4975</v>
      </c>
      <c r="D413" s="2" t="s">
        <v>4976</v>
      </c>
      <c r="E413" s="3" t="s">
        <v>4977</v>
      </c>
      <c r="F413" s="3" t="s">
        <v>61</v>
      </c>
      <c r="G413" s="3" t="s">
        <v>60</v>
      </c>
      <c r="H413" s="3" t="s">
        <v>61</v>
      </c>
      <c r="I413" s="3" t="s">
        <v>61</v>
      </c>
      <c r="J413" s="3" t="s">
        <v>62</v>
      </c>
      <c r="K413" s="2" t="s">
        <v>4978</v>
      </c>
      <c r="L413" s="2" t="s">
        <v>4979</v>
      </c>
      <c r="M413" s="3" t="s">
        <v>1319</v>
      </c>
      <c r="O413" s="3" t="s">
        <v>66</v>
      </c>
      <c r="P413" s="3" t="s">
        <v>4980</v>
      </c>
      <c r="R413" s="3" t="s">
        <v>68</v>
      </c>
      <c r="S413" s="4">
        <v>2</v>
      </c>
      <c r="T413" s="4">
        <v>2</v>
      </c>
      <c r="U413" s="5" t="s">
        <v>4981</v>
      </c>
      <c r="V413" s="5" t="s">
        <v>4981</v>
      </c>
      <c r="W413" s="5" t="s">
        <v>1090</v>
      </c>
      <c r="X413" s="5" t="s">
        <v>1090</v>
      </c>
      <c r="Y413" s="4">
        <v>194</v>
      </c>
      <c r="Z413" s="4">
        <v>113</v>
      </c>
      <c r="AA413" s="4">
        <v>179</v>
      </c>
      <c r="AB413" s="4">
        <v>1</v>
      </c>
      <c r="AC413" s="4">
        <v>1</v>
      </c>
      <c r="AD413" s="4">
        <v>14</v>
      </c>
      <c r="AE413" s="4">
        <v>19</v>
      </c>
      <c r="AF413" s="4">
        <v>7</v>
      </c>
      <c r="AG413" s="4">
        <v>7</v>
      </c>
      <c r="AH413" s="4">
        <v>2</v>
      </c>
      <c r="AI413" s="4">
        <v>4</v>
      </c>
      <c r="AJ413" s="4">
        <v>10</v>
      </c>
      <c r="AK413" s="4">
        <v>14</v>
      </c>
      <c r="AL413" s="4">
        <v>0</v>
      </c>
      <c r="AM413" s="4">
        <v>0</v>
      </c>
      <c r="AN413" s="4">
        <v>0</v>
      </c>
      <c r="AO413" s="4">
        <v>0</v>
      </c>
      <c r="AP413" s="3" t="s">
        <v>61</v>
      </c>
      <c r="AQ413" s="3" t="s">
        <v>59</v>
      </c>
      <c r="AR413" s="6" t="str">
        <f>HYPERLINK("http://catalog.hathitrust.org/Record/001929332","HathiTrust Record")</f>
        <v>HathiTrust Record</v>
      </c>
      <c r="AS413" s="6" t="str">
        <f>HYPERLINK("https://creighton-primo.hosted.exlibrisgroup.com/primo-explore/search?tab=default_tab&amp;search_scope=EVERYTHING&amp;vid=01CRU&amp;lang=en_US&amp;offset=0&amp;query=any,contains,991004036919702656","Catalog Record")</f>
        <v>Catalog Record</v>
      </c>
      <c r="AT413" s="6" t="str">
        <f>HYPERLINK("http://www.worldcat.org/oclc/2174171","WorldCat Record")</f>
        <v>WorldCat Record</v>
      </c>
      <c r="AU413" s="3" t="s">
        <v>4982</v>
      </c>
      <c r="AV413" s="3" t="s">
        <v>4983</v>
      </c>
      <c r="AW413" s="3" t="s">
        <v>4984</v>
      </c>
      <c r="AX413" s="3" t="s">
        <v>4984</v>
      </c>
      <c r="AY413" s="3" t="s">
        <v>4985</v>
      </c>
      <c r="AZ413" s="3" t="s">
        <v>75</v>
      </c>
      <c r="BC413" s="3" t="s">
        <v>4986</v>
      </c>
      <c r="BD413" s="3" t="s">
        <v>4987</v>
      </c>
    </row>
    <row r="414" spans="1:56" ht="44.25" customHeight="1" x14ac:dyDescent="0.25">
      <c r="A414" s="7" t="s">
        <v>61</v>
      </c>
      <c r="B414" s="2" t="s">
        <v>4988</v>
      </c>
      <c r="C414" s="2" t="s">
        <v>4989</v>
      </c>
      <c r="D414" s="2" t="s">
        <v>4990</v>
      </c>
      <c r="F414" s="3" t="s">
        <v>61</v>
      </c>
      <c r="G414" s="3" t="s">
        <v>60</v>
      </c>
      <c r="H414" s="3" t="s">
        <v>61</v>
      </c>
      <c r="I414" s="3" t="s">
        <v>61</v>
      </c>
      <c r="J414" s="3" t="s">
        <v>62</v>
      </c>
      <c r="K414" s="2" t="s">
        <v>4991</v>
      </c>
      <c r="L414" s="2" t="s">
        <v>4992</v>
      </c>
      <c r="M414" s="3" t="s">
        <v>3854</v>
      </c>
      <c r="O414" s="3" t="s">
        <v>114</v>
      </c>
      <c r="P414" s="3" t="s">
        <v>192</v>
      </c>
      <c r="R414" s="3" t="s">
        <v>68</v>
      </c>
      <c r="S414" s="4">
        <v>2</v>
      </c>
      <c r="T414" s="4">
        <v>2</v>
      </c>
      <c r="U414" s="5" t="s">
        <v>4772</v>
      </c>
      <c r="V414" s="5" t="s">
        <v>4772</v>
      </c>
      <c r="W414" s="5" t="s">
        <v>4993</v>
      </c>
      <c r="X414" s="5" t="s">
        <v>4993</v>
      </c>
      <c r="Y414" s="4">
        <v>268</v>
      </c>
      <c r="Z414" s="4">
        <v>249</v>
      </c>
      <c r="AA414" s="4">
        <v>261</v>
      </c>
      <c r="AB414" s="4">
        <v>2</v>
      </c>
      <c r="AC414" s="4">
        <v>2</v>
      </c>
      <c r="AD414" s="4">
        <v>11</v>
      </c>
      <c r="AE414" s="4">
        <v>11</v>
      </c>
      <c r="AF414" s="4">
        <v>2</v>
      </c>
      <c r="AG414" s="4">
        <v>2</v>
      </c>
      <c r="AH414" s="4">
        <v>2</v>
      </c>
      <c r="AI414" s="4">
        <v>2</v>
      </c>
      <c r="AJ414" s="4">
        <v>7</v>
      </c>
      <c r="AK414" s="4">
        <v>7</v>
      </c>
      <c r="AL414" s="4">
        <v>1</v>
      </c>
      <c r="AM414" s="4">
        <v>1</v>
      </c>
      <c r="AN414" s="4">
        <v>0</v>
      </c>
      <c r="AO414" s="4">
        <v>0</v>
      </c>
      <c r="AP414" s="3" t="s">
        <v>61</v>
      </c>
      <c r="AQ414" s="3" t="s">
        <v>59</v>
      </c>
      <c r="AR414" s="6" t="str">
        <f>HYPERLINK("http://catalog.hathitrust.org/Record/000402441","HathiTrust Record")</f>
        <v>HathiTrust Record</v>
      </c>
      <c r="AS414" s="6" t="str">
        <f>HYPERLINK("https://creighton-primo.hosted.exlibrisgroup.com/primo-explore/search?tab=default_tab&amp;search_scope=EVERYTHING&amp;vid=01CRU&amp;lang=en_US&amp;offset=0&amp;query=any,contains,991002458749702656","Catalog Record")</f>
        <v>Catalog Record</v>
      </c>
      <c r="AT414" s="6" t="str">
        <f>HYPERLINK("http://www.worldcat.org/oclc/355319","WorldCat Record")</f>
        <v>WorldCat Record</v>
      </c>
      <c r="AU414" s="3" t="s">
        <v>4994</v>
      </c>
      <c r="AV414" s="3" t="s">
        <v>4995</v>
      </c>
      <c r="AW414" s="3" t="s">
        <v>4996</v>
      </c>
      <c r="AX414" s="3" t="s">
        <v>4996</v>
      </c>
      <c r="AY414" s="3" t="s">
        <v>4997</v>
      </c>
      <c r="AZ414" s="3" t="s">
        <v>75</v>
      </c>
      <c r="BC414" s="3" t="s">
        <v>4998</v>
      </c>
      <c r="BD414" s="3" t="s">
        <v>4999</v>
      </c>
    </row>
    <row r="415" spans="1:56" ht="44.25" customHeight="1" x14ac:dyDescent="0.25">
      <c r="A415" s="7" t="s">
        <v>61</v>
      </c>
      <c r="B415" s="2" t="s">
        <v>5000</v>
      </c>
      <c r="C415" s="2" t="s">
        <v>5001</v>
      </c>
      <c r="D415" s="2" t="s">
        <v>5002</v>
      </c>
      <c r="F415" s="3" t="s">
        <v>61</v>
      </c>
      <c r="G415" s="3" t="s">
        <v>60</v>
      </c>
      <c r="H415" s="3" t="s">
        <v>61</v>
      </c>
      <c r="I415" s="3" t="s">
        <v>61</v>
      </c>
      <c r="J415" s="3" t="s">
        <v>62</v>
      </c>
      <c r="K415" s="2" t="s">
        <v>5003</v>
      </c>
      <c r="L415" s="2" t="s">
        <v>5004</v>
      </c>
      <c r="M415" s="3" t="s">
        <v>3279</v>
      </c>
      <c r="O415" s="3" t="s">
        <v>114</v>
      </c>
      <c r="P415" s="3" t="s">
        <v>364</v>
      </c>
      <c r="Q415" s="2" t="s">
        <v>5005</v>
      </c>
      <c r="R415" s="3" t="s">
        <v>68</v>
      </c>
      <c r="S415" s="4">
        <v>5</v>
      </c>
      <c r="T415" s="4">
        <v>5</v>
      </c>
      <c r="U415" s="5" t="s">
        <v>4772</v>
      </c>
      <c r="V415" s="5" t="s">
        <v>4772</v>
      </c>
      <c r="W415" s="5" t="s">
        <v>4208</v>
      </c>
      <c r="X415" s="5" t="s">
        <v>4208</v>
      </c>
      <c r="Y415" s="4">
        <v>255</v>
      </c>
      <c r="Z415" s="4">
        <v>230</v>
      </c>
      <c r="AA415" s="4">
        <v>235</v>
      </c>
      <c r="AB415" s="4">
        <v>3</v>
      </c>
      <c r="AC415" s="4">
        <v>3</v>
      </c>
      <c r="AD415" s="4">
        <v>13</v>
      </c>
      <c r="AE415" s="4">
        <v>13</v>
      </c>
      <c r="AF415" s="4">
        <v>4</v>
      </c>
      <c r="AG415" s="4">
        <v>4</v>
      </c>
      <c r="AH415" s="4">
        <v>6</v>
      </c>
      <c r="AI415" s="4">
        <v>6</v>
      </c>
      <c r="AJ415" s="4">
        <v>6</v>
      </c>
      <c r="AK415" s="4">
        <v>6</v>
      </c>
      <c r="AL415" s="4">
        <v>2</v>
      </c>
      <c r="AM415" s="4">
        <v>2</v>
      </c>
      <c r="AN415" s="4">
        <v>0</v>
      </c>
      <c r="AO415" s="4">
        <v>0</v>
      </c>
      <c r="AP415" s="3" t="s">
        <v>61</v>
      </c>
      <c r="AQ415" s="3" t="s">
        <v>59</v>
      </c>
      <c r="AR415" s="6" t="str">
        <f>HYPERLINK("http://catalog.hathitrust.org/Record/000275442","HathiTrust Record")</f>
        <v>HathiTrust Record</v>
      </c>
      <c r="AS415" s="6" t="str">
        <f>HYPERLINK("https://creighton-primo.hosted.exlibrisgroup.com/primo-explore/search?tab=default_tab&amp;search_scope=EVERYTHING&amp;vid=01CRU&amp;lang=en_US&amp;offset=0&amp;query=any,contains,991002319129702656","Catalog Record")</f>
        <v>Catalog Record</v>
      </c>
      <c r="AT415" s="6" t="str">
        <f>HYPERLINK("http://www.worldcat.org/oclc/320142","WorldCat Record")</f>
        <v>WorldCat Record</v>
      </c>
      <c r="AU415" s="3" t="s">
        <v>5006</v>
      </c>
      <c r="AV415" s="3" t="s">
        <v>5007</v>
      </c>
      <c r="AW415" s="3" t="s">
        <v>5008</v>
      </c>
      <c r="AX415" s="3" t="s">
        <v>5008</v>
      </c>
      <c r="AY415" s="3" t="s">
        <v>5009</v>
      </c>
      <c r="AZ415" s="3" t="s">
        <v>75</v>
      </c>
      <c r="BC415" s="3" t="s">
        <v>5010</v>
      </c>
      <c r="BD415" s="3" t="s">
        <v>5011</v>
      </c>
    </row>
    <row r="416" spans="1:56" ht="44.25" customHeight="1" x14ac:dyDescent="0.25">
      <c r="A416" s="7" t="s">
        <v>61</v>
      </c>
      <c r="B416" s="2" t="s">
        <v>5012</v>
      </c>
      <c r="C416" s="2" t="s">
        <v>5013</v>
      </c>
      <c r="D416" s="2" t="s">
        <v>5014</v>
      </c>
      <c r="F416" s="3" t="s">
        <v>59</v>
      </c>
      <c r="G416" s="3" t="s">
        <v>60</v>
      </c>
      <c r="H416" s="3" t="s">
        <v>59</v>
      </c>
      <c r="I416" s="3" t="s">
        <v>61</v>
      </c>
      <c r="J416" s="3" t="s">
        <v>62</v>
      </c>
      <c r="K416" s="2" t="s">
        <v>5015</v>
      </c>
      <c r="L416" s="2" t="s">
        <v>5016</v>
      </c>
      <c r="M416" s="3" t="s">
        <v>1624</v>
      </c>
      <c r="O416" s="3" t="s">
        <v>114</v>
      </c>
      <c r="P416" s="3" t="s">
        <v>192</v>
      </c>
      <c r="R416" s="3" t="s">
        <v>68</v>
      </c>
      <c r="S416" s="4">
        <v>4</v>
      </c>
      <c r="T416" s="4">
        <v>13</v>
      </c>
      <c r="U416" s="5" t="s">
        <v>5017</v>
      </c>
      <c r="V416" s="5" t="s">
        <v>5017</v>
      </c>
      <c r="W416" s="5" t="s">
        <v>2653</v>
      </c>
      <c r="X416" s="5" t="s">
        <v>2653</v>
      </c>
      <c r="Y416" s="4">
        <v>867</v>
      </c>
      <c r="Z416" s="4">
        <v>726</v>
      </c>
      <c r="AA416" s="4">
        <v>994</v>
      </c>
      <c r="AB416" s="4">
        <v>6</v>
      </c>
      <c r="AC416" s="4">
        <v>7</v>
      </c>
      <c r="AD416" s="4">
        <v>42</v>
      </c>
      <c r="AE416" s="4">
        <v>50</v>
      </c>
      <c r="AF416" s="4">
        <v>18</v>
      </c>
      <c r="AG416" s="4">
        <v>20</v>
      </c>
      <c r="AH416" s="4">
        <v>9</v>
      </c>
      <c r="AI416" s="4">
        <v>11</v>
      </c>
      <c r="AJ416" s="4">
        <v>20</v>
      </c>
      <c r="AK416" s="4">
        <v>21</v>
      </c>
      <c r="AL416" s="4">
        <v>5</v>
      </c>
      <c r="AM416" s="4">
        <v>5</v>
      </c>
      <c r="AN416" s="4">
        <v>0</v>
      </c>
      <c r="AO416" s="4">
        <v>5</v>
      </c>
      <c r="AP416" s="3" t="s">
        <v>61</v>
      </c>
      <c r="AQ416" s="3" t="s">
        <v>59</v>
      </c>
      <c r="AR416" s="6" t="str">
        <f>HYPERLINK("http://catalog.hathitrust.org/Record/000401139","HathiTrust Record")</f>
        <v>HathiTrust Record</v>
      </c>
      <c r="AS416" s="6" t="str">
        <f>HYPERLINK("https://creighton-primo.hosted.exlibrisgroup.com/primo-explore/search?tab=default_tab&amp;search_scope=EVERYTHING&amp;vid=01CRU&amp;lang=en_US&amp;offset=0&amp;query=any,contains,991000958689702656","Catalog Record")</f>
        <v>Catalog Record</v>
      </c>
      <c r="AT416" s="6" t="str">
        <f>HYPERLINK("http://www.worldcat.org/oclc/168712","WorldCat Record")</f>
        <v>WorldCat Record</v>
      </c>
      <c r="AU416" s="3" t="s">
        <v>5018</v>
      </c>
      <c r="AV416" s="3" t="s">
        <v>5019</v>
      </c>
      <c r="AW416" s="3" t="s">
        <v>5020</v>
      </c>
      <c r="AX416" s="3" t="s">
        <v>5020</v>
      </c>
      <c r="AY416" s="3" t="s">
        <v>5021</v>
      </c>
      <c r="AZ416" s="3" t="s">
        <v>75</v>
      </c>
      <c r="BC416" s="3" t="s">
        <v>5022</v>
      </c>
      <c r="BD416" s="3" t="s">
        <v>5023</v>
      </c>
    </row>
    <row r="417" spans="1:56" ht="44.25" customHeight="1" x14ac:dyDescent="0.25">
      <c r="A417" s="7" t="s">
        <v>61</v>
      </c>
      <c r="B417" s="2" t="s">
        <v>5024</v>
      </c>
      <c r="C417" s="2" t="s">
        <v>5025</v>
      </c>
      <c r="D417" s="2" t="s">
        <v>5014</v>
      </c>
      <c r="E417" s="3" t="s">
        <v>5026</v>
      </c>
      <c r="F417" s="3" t="s">
        <v>59</v>
      </c>
      <c r="G417" s="3" t="s">
        <v>60</v>
      </c>
      <c r="H417" s="3" t="s">
        <v>61</v>
      </c>
      <c r="I417" s="3" t="s">
        <v>61</v>
      </c>
      <c r="J417" s="3" t="s">
        <v>62</v>
      </c>
      <c r="K417" s="2" t="s">
        <v>5015</v>
      </c>
      <c r="L417" s="2" t="s">
        <v>5016</v>
      </c>
      <c r="M417" s="3" t="s">
        <v>1624</v>
      </c>
      <c r="O417" s="3" t="s">
        <v>114</v>
      </c>
      <c r="P417" s="3" t="s">
        <v>192</v>
      </c>
      <c r="R417" s="3" t="s">
        <v>68</v>
      </c>
      <c r="S417" s="4">
        <v>2</v>
      </c>
      <c r="T417" s="4">
        <v>13</v>
      </c>
      <c r="U417" s="5" t="s">
        <v>5017</v>
      </c>
      <c r="V417" s="5" t="s">
        <v>5017</v>
      </c>
      <c r="W417" s="5" t="s">
        <v>2653</v>
      </c>
      <c r="X417" s="5" t="s">
        <v>2653</v>
      </c>
      <c r="Y417" s="4">
        <v>867</v>
      </c>
      <c r="Z417" s="4">
        <v>726</v>
      </c>
      <c r="AA417" s="4">
        <v>994</v>
      </c>
      <c r="AB417" s="4">
        <v>6</v>
      </c>
      <c r="AC417" s="4">
        <v>7</v>
      </c>
      <c r="AD417" s="4">
        <v>42</v>
      </c>
      <c r="AE417" s="4">
        <v>50</v>
      </c>
      <c r="AF417" s="4">
        <v>18</v>
      </c>
      <c r="AG417" s="4">
        <v>20</v>
      </c>
      <c r="AH417" s="4">
        <v>9</v>
      </c>
      <c r="AI417" s="4">
        <v>11</v>
      </c>
      <c r="AJ417" s="4">
        <v>20</v>
      </c>
      <c r="AK417" s="4">
        <v>21</v>
      </c>
      <c r="AL417" s="4">
        <v>5</v>
      </c>
      <c r="AM417" s="4">
        <v>5</v>
      </c>
      <c r="AN417" s="4">
        <v>0</v>
      </c>
      <c r="AO417" s="4">
        <v>5</v>
      </c>
      <c r="AP417" s="3" t="s">
        <v>61</v>
      </c>
      <c r="AQ417" s="3" t="s">
        <v>59</v>
      </c>
      <c r="AR417" s="6" t="str">
        <f>HYPERLINK("http://catalog.hathitrust.org/Record/000401139","HathiTrust Record")</f>
        <v>HathiTrust Record</v>
      </c>
      <c r="AS417" s="6" t="str">
        <f>HYPERLINK("https://creighton-primo.hosted.exlibrisgroup.com/primo-explore/search?tab=default_tab&amp;search_scope=EVERYTHING&amp;vid=01CRU&amp;lang=en_US&amp;offset=0&amp;query=any,contains,991000958689702656","Catalog Record")</f>
        <v>Catalog Record</v>
      </c>
      <c r="AT417" s="6" t="str">
        <f>HYPERLINK("http://www.worldcat.org/oclc/168712","WorldCat Record")</f>
        <v>WorldCat Record</v>
      </c>
      <c r="AU417" s="3" t="s">
        <v>5018</v>
      </c>
      <c r="AV417" s="3" t="s">
        <v>5019</v>
      </c>
      <c r="AW417" s="3" t="s">
        <v>5020</v>
      </c>
      <c r="AX417" s="3" t="s">
        <v>5020</v>
      </c>
      <c r="AY417" s="3" t="s">
        <v>5021</v>
      </c>
      <c r="AZ417" s="3" t="s">
        <v>75</v>
      </c>
      <c r="BC417" s="3" t="s">
        <v>5027</v>
      </c>
      <c r="BD417" s="3" t="s">
        <v>5028</v>
      </c>
    </row>
    <row r="418" spans="1:56" ht="44.25" customHeight="1" x14ac:dyDescent="0.25">
      <c r="A418" s="7" t="s">
        <v>61</v>
      </c>
      <c r="B418" s="2" t="s">
        <v>5029</v>
      </c>
      <c r="C418" s="2" t="s">
        <v>5030</v>
      </c>
      <c r="D418" s="2" t="s">
        <v>5014</v>
      </c>
      <c r="E418" s="3" t="s">
        <v>5031</v>
      </c>
      <c r="F418" s="3" t="s">
        <v>59</v>
      </c>
      <c r="G418" s="3" t="s">
        <v>60</v>
      </c>
      <c r="H418" s="3" t="s">
        <v>61</v>
      </c>
      <c r="I418" s="3" t="s">
        <v>61</v>
      </c>
      <c r="J418" s="3" t="s">
        <v>62</v>
      </c>
      <c r="K418" s="2" t="s">
        <v>5015</v>
      </c>
      <c r="L418" s="2" t="s">
        <v>5016</v>
      </c>
      <c r="M418" s="3" t="s">
        <v>1624</v>
      </c>
      <c r="O418" s="3" t="s">
        <v>114</v>
      </c>
      <c r="P418" s="3" t="s">
        <v>192</v>
      </c>
      <c r="R418" s="3" t="s">
        <v>68</v>
      </c>
      <c r="S418" s="4">
        <v>7</v>
      </c>
      <c r="T418" s="4">
        <v>13</v>
      </c>
      <c r="U418" s="5" t="s">
        <v>5017</v>
      </c>
      <c r="V418" s="5" t="s">
        <v>5017</v>
      </c>
      <c r="W418" s="5" t="s">
        <v>2653</v>
      </c>
      <c r="X418" s="5" t="s">
        <v>2653</v>
      </c>
      <c r="Y418" s="4">
        <v>867</v>
      </c>
      <c r="Z418" s="4">
        <v>726</v>
      </c>
      <c r="AA418" s="4">
        <v>994</v>
      </c>
      <c r="AB418" s="4">
        <v>6</v>
      </c>
      <c r="AC418" s="4">
        <v>7</v>
      </c>
      <c r="AD418" s="4">
        <v>42</v>
      </c>
      <c r="AE418" s="4">
        <v>50</v>
      </c>
      <c r="AF418" s="4">
        <v>18</v>
      </c>
      <c r="AG418" s="4">
        <v>20</v>
      </c>
      <c r="AH418" s="4">
        <v>9</v>
      </c>
      <c r="AI418" s="4">
        <v>11</v>
      </c>
      <c r="AJ418" s="4">
        <v>20</v>
      </c>
      <c r="AK418" s="4">
        <v>21</v>
      </c>
      <c r="AL418" s="4">
        <v>5</v>
      </c>
      <c r="AM418" s="4">
        <v>5</v>
      </c>
      <c r="AN418" s="4">
        <v>0</v>
      </c>
      <c r="AO418" s="4">
        <v>5</v>
      </c>
      <c r="AP418" s="3" t="s">
        <v>61</v>
      </c>
      <c r="AQ418" s="3" t="s">
        <v>59</v>
      </c>
      <c r="AR418" s="6" t="str">
        <f>HYPERLINK("http://catalog.hathitrust.org/Record/000401139","HathiTrust Record")</f>
        <v>HathiTrust Record</v>
      </c>
      <c r="AS418" s="6" t="str">
        <f>HYPERLINK("https://creighton-primo.hosted.exlibrisgroup.com/primo-explore/search?tab=default_tab&amp;search_scope=EVERYTHING&amp;vid=01CRU&amp;lang=en_US&amp;offset=0&amp;query=any,contains,991000958689702656","Catalog Record")</f>
        <v>Catalog Record</v>
      </c>
      <c r="AT418" s="6" t="str">
        <f>HYPERLINK("http://www.worldcat.org/oclc/168712","WorldCat Record")</f>
        <v>WorldCat Record</v>
      </c>
      <c r="AU418" s="3" t="s">
        <v>5018</v>
      </c>
      <c r="AV418" s="3" t="s">
        <v>5019</v>
      </c>
      <c r="AW418" s="3" t="s">
        <v>5020</v>
      </c>
      <c r="AX418" s="3" t="s">
        <v>5020</v>
      </c>
      <c r="AY418" s="3" t="s">
        <v>5021</v>
      </c>
      <c r="AZ418" s="3" t="s">
        <v>75</v>
      </c>
      <c r="BC418" s="3" t="s">
        <v>5032</v>
      </c>
      <c r="BD418" s="3" t="s">
        <v>5033</v>
      </c>
    </row>
    <row r="419" spans="1:56" ht="44.25" customHeight="1" x14ac:dyDescent="0.25">
      <c r="A419" s="7" t="s">
        <v>61</v>
      </c>
      <c r="B419" s="2" t="s">
        <v>5034</v>
      </c>
      <c r="C419" s="2" t="s">
        <v>5035</v>
      </c>
      <c r="D419" s="2" t="s">
        <v>5036</v>
      </c>
      <c r="F419" s="3" t="s">
        <v>61</v>
      </c>
      <c r="G419" s="3" t="s">
        <v>60</v>
      </c>
      <c r="H419" s="3" t="s">
        <v>61</v>
      </c>
      <c r="I419" s="3" t="s">
        <v>61</v>
      </c>
      <c r="J419" s="3" t="s">
        <v>62</v>
      </c>
      <c r="K419" s="2" t="s">
        <v>5037</v>
      </c>
      <c r="L419" s="2" t="s">
        <v>5038</v>
      </c>
      <c r="M419" s="3" t="s">
        <v>4440</v>
      </c>
      <c r="O419" s="3" t="s">
        <v>114</v>
      </c>
      <c r="P419" s="3" t="s">
        <v>67</v>
      </c>
      <c r="R419" s="3" t="s">
        <v>68</v>
      </c>
      <c r="S419" s="4">
        <v>2</v>
      </c>
      <c r="T419" s="4">
        <v>2</v>
      </c>
      <c r="U419" s="5" t="s">
        <v>3232</v>
      </c>
      <c r="V419" s="5" t="s">
        <v>3232</v>
      </c>
      <c r="W419" s="5" t="s">
        <v>4915</v>
      </c>
      <c r="X419" s="5" t="s">
        <v>4915</v>
      </c>
      <c r="Y419" s="4">
        <v>68</v>
      </c>
      <c r="Z419" s="4">
        <v>63</v>
      </c>
      <c r="AA419" s="4">
        <v>420</v>
      </c>
      <c r="AB419" s="4">
        <v>3</v>
      </c>
      <c r="AC419" s="4">
        <v>6</v>
      </c>
      <c r="AD419" s="4">
        <v>4</v>
      </c>
      <c r="AE419" s="4">
        <v>24</v>
      </c>
      <c r="AF419" s="4">
        <v>0</v>
      </c>
      <c r="AG419" s="4">
        <v>7</v>
      </c>
      <c r="AH419" s="4">
        <v>0</v>
      </c>
      <c r="AI419" s="4">
        <v>5</v>
      </c>
      <c r="AJ419" s="4">
        <v>2</v>
      </c>
      <c r="AK419" s="4">
        <v>9</v>
      </c>
      <c r="AL419" s="4">
        <v>2</v>
      </c>
      <c r="AM419" s="4">
        <v>4</v>
      </c>
      <c r="AN419" s="4">
        <v>0</v>
      </c>
      <c r="AO419" s="4">
        <v>3</v>
      </c>
      <c r="AP419" s="3" t="s">
        <v>59</v>
      </c>
      <c r="AQ419" s="3" t="s">
        <v>61</v>
      </c>
      <c r="AR419" s="6" t="str">
        <f>HYPERLINK("http://catalog.hathitrust.org/Record/100551224","HathiTrust Record")</f>
        <v>HathiTrust Record</v>
      </c>
      <c r="AS419" s="6" t="str">
        <f>HYPERLINK("https://creighton-primo.hosted.exlibrisgroup.com/primo-explore/search?tab=default_tab&amp;search_scope=EVERYTHING&amp;vid=01CRU&amp;lang=en_US&amp;offset=0&amp;query=any,contains,991000330919702656","Catalog Record")</f>
        <v>Catalog Record</v>
      </c>
      <c r="AT419" s="6" t="str">
        <f>HYPERLINK("http://www.worldcat.org/oclc/6901664","WorldCat Record")</f>
        <v>WorldCat Record</v>
      </c>
      <c r="AU419" s="3" t="s">
        <v>5039</v>
      </c>
      <c r="AV419" s="3" t="s">
        <v>5040</v>
      </c>
      <c r="AW419" s="3" t="s">
        <v>5041</v>
      </c>
      <c r="AX419" s="3" t="s">
        <v>5041</v>
      </c>
      <c r="AY419" s="3" t="s">
        <v>5042</v>
      </c>
      <c r="AZ419" s="3" t="s">
        <v>75</v>
      </c>
      <c r="BC419" s="3" t="s">
        <v>5043</v>
      </c>
      <c r="BD419" s="3" t="s">
        <v>5044</v>
      </c>
    </row>
    <row r="420" spans="1:56" ht="44.25" customHeight="1" x14ac:dyDescent="0.25">
      <c r="A420" s="7" t="s">
        <v>61</v>
      </c>
      <c r="B420" s="2" t="s">
        <v>5045</v>
      </c>
      <c r="C420" s="2" t="s">
        <v>5046</v>
      </c>
      <c r="D420" s="2" t="s">
        <v>5047</v>
      </c>
      <c r="F420" s="3" t="s">
        <v>61</v>
      </c>
      <c r="G420" s="3" t="s">
        <v>60</v>
      </c>
      <c r="H420" s="3" t="s">
        <v>61</v>
      </c>
      <c r="I420" s="3" t="s">
        <v>61</v>
      </c>
      <c r="J420" s="3" t="s">
        <v>62</v>
      </c>
      <c r="K420" s="2" t="s">
        <v>5048</v>
      </c>
      <c r="L420" s="2" t="s">
        <v>5049</v>
      </c>
      <c r="M420" s="3" t="s">
        <v>5050</v>
      </c>
      <c r="N420" s="2" t="s">
        <v>838</v>
      </c>
      <c r="O420" s="3" t="s">
        <v>114</v>
      </c>
      <c r="P420" s="3" t="s">
        <v>235</v>
      </c>
      <c r="R420" s="3" t="s">
        <v>68</v>
      </c>
      <c r="S420" s="4">
        <v>4</v>
      </c>
      <c r="T420" s="4">
        <v>4</v>
      </c>
      <c r="U420" s="5" t="s">
        <v>3902</v>
      </c>
      <c r="V420" s="5" t="s">
        <v>3902</v>
      </c>
      <c r="W420" s="5" t="s">
        <v>5051</v>
      </c>
      <c r="X420" s="5" t="s">
        <v>5051</v>
      </c>
      <c r="Y420" s="4">
        <v>136</v>
      </c>
      <c r="Z420" s="4">
        <v>131</v>
      </c>
      <c r="AA420" s="4">
        <v>229</v>
      </c>
      <c r="AB420" s="4">
        <v>4</v>
      </c>
      <c r="AC420" s="4">
        <v>5</v>
      </c>
      <c r="AD420" s="4">
        <v>8</v>
      </c>
      <c r="AE420" s="4">
        <v>11</v>
      </c>
      <c r="AF420" s="4">
        <v>2</v>
      </c>
      <c r="AG420" s="4">
        <v>3</v>
      </c>
      <c r="AH420" s="4">
        <v>1</v>
      </c>
      <c r="AI420" s="4">
        <v>1</v>
      </c>
      <c r="AJ420" s="4">
        <v>3</v>
      </c>
      <c r="AK420" s="4">
        <v>4</v>
      </c>
      <c r="AL420" s="4">
        <v>3</v>
      </c>
      <c r="AM420" s="4">
        <v>4</v>
      </c>
      <c r="AN420" s="4">
        <v>0</v>
      </c>
      <c r="AO420" s="4">
        <v>0</v>
      </c>
      <c r="AP420" s="3" t="s">
        <v>59</v>
      </c>
      <c r="AQ420" s="3" t="s">
        <v>61</v>
      </c>
      <c r="AR420" s="6" t="str">
        <f>HYPERLINK("http://catalog.hathitrust.org/Record/006526534","HathiTrust Record")</f>
        <v>HathiTrust Record</v>
      </c>
      <c r="AS420" s="6" t="str">
        <f>HYPERLINK("https://creighton-primo.hosted.exlibrisgroup.com/primo-explore/search?tab=default_tab&amp;search_scope=EVERYTHING&amp;vid=01CRU&amp;lang=en_US&amp;offset=0&amp;query=any,contains,991003410629702656","Catalog Record")</f>
        <v>Catalog Record</v>
      </c>
      <c r="AT420" s="6" t="str">
        <f>HYPERLINK("http://www.worldcat.org/oclc/948946","WorldCat Record")</f>
        <v>WorldCat Record</v>
      </c>
      <c r="AU420" s="3" t="s">
        <v>5052</v>
      </c>
      <c r="AV420" s="3" t="s">
        <v>5053</v>
      </c>
      <c r="AW420" s="3" t="s">
        <v>5054</v>
      </c>
      <c r="AX420" s="3" t="s">
        <v>5054</v>
      </c>
      <c r="AY420" s="3" t="s">
        <v>5055</v>
      </c>
      <c r="AZ420" s="3" t="s">
        <v>75</v>
      </c>
      <c r="BC420" s="3" t="s">
        <v>5056</v>
      </c>
      <c r="BD420" s="3" t="s">
        <v>5057</v>
      </c>
    </row>
    <row r="421" spans="1:56" ht="44.25" customHeight="1" x14ac:dyDescent="0.25">
      <c r="A421" s="7" t="s">
        <v>61</v>
      </c>
      <c r="B421" s="2" t="s">
        <v>5058</v>
      </c>
      <c r="C421" s="2" t="s">
        <v>5059</v>
      </c>
      <c r="D421" s="2" t="s">
        <v>5060</v>
      </c>
      <c r="F421" s="3" t="s">
        <v>61</v>
      </c>
      <c r="G421" s="3" t="s">
        <v>60</v>
      </c>
      <c r="H421" s="3" t="s">
        <v>61</v>
      </c>
      <c r="I421" s="3" t="s">
        <v>61</v>
      </c>
      <c r="J421" s="3" t="s">
        <v>62</v>
      </c>
      <c r="K421" s="2" t="s">
        <v>5061</v>
      </c>
      <c r="L421" s="2" t="s">
        <v>5062</v>
      </c>
      <c r="M421" s="3" t="s">
        <v>5050</v>
      </c>
      <c r="O421" s="3" t="s">
        <v>114</v>
      </c>
      <c r="P421" s="3" t="s">
        <v>235</v>
      </c>
      <c r="R421" s="3" t="s">
        <v>68</v>
      </c>
      <c r="S421" s="4">
        <v>2</v>
      </c>
      <c r="T421" s="4">
        <v>2</v>
      </c>
      <c r="U421" s="5" t="s">
        <v>5063</v>
      </c>
      <c r="V421" s="5" t="s">
        <v>5063</v>
      </c>
      <c r="W421" s="5" t="s">
        <v>5064</v>
      </c>
      <c r="X421" s="5" t="s">
        <v>5064</v>
      </c>
      <c r="Y421" s="4">
        <v>457</v>
      </c>
      <c r="Z421" s="4">
        <v>440</v>
      </c>
      <c r="AA421" s="4">
        <v>518</v>
      </c>
      <c r="AB421" s="4">
        <v>7</v>
      </c>
      <c r="AC421" s="4">
        <v>7</v>
      </c>
      <c r="AD421" s="4">
        <v>22</v>
      </c>
      <c r="AE421" s="4">
        <v>29</v>
      </c>
      <c r="AF421" s="4">
        <v>6</v>
      </c>
      <c r="AG421" s="4">
        <v>10</v>
      </c>
      <c r="AH421" s="4">
        <v>3</v>
      </c>
      <c r="AI421" s="4">
        <v>4</v>
      </c>
      <c r="AJ421" s="4">
        <v>10</v>
      </c>
      <c r="AK421" s="4">
        <v>12</v>
      </c>
      <c r="AL421" s="4">
        <v>6</v>
      </c>
      <c r="AM421" s="4">
        <v>6</v>
      </c>
      <c r="AN421" s="4">
        <v>0</v>
      </c>
      <c r="AO421" s="4">
        <v>1</v>
      </c>
      <c r="AP421" s="3" t="s">
        <v>59</v>
      </c>
      <c r="AQ421" s="3" t="s">
        <v>61</v>
      </c>
      <c r="AR421" s="6" t="str">
        <f>HYPERLINK("http://catalog.hathitrust.org/Record/000399390","HathiTrust Record")</f>
        <v>HathiTrust Record</v>
      </c>
      <c r="AS421" s="6" t="str">
        <f>HYPERLINK("https://creighton-primo.hosted.exlibrisgroup.com/primo-explore/search?tab=default_tab&amp;search_scope=EVERYTHING&amp;vid=01CRU&amp;lang=en_US&amp;offset=0&amp;query=any,contains,991003014659702656","Catalog Record")</f>
        <v>Catalog Record</v>
      </c>
      <c r="AT421" s="6" t="str">
        <f>HYPERLINK("http://www.worldcat.org/oclc/580074","WorldCat Record")</f>
        <v>WorldCat Record</v>
      </c>
      <c r="AU421" s="3" t="s">
        <v>5065</v>
      </c>
      <c r="AV421" s="3" t="s">
        <v>5066</v>
      </c>
      <c r="AW421" s="3" t="s">
        <v>5067</v>
      </c>
      <c r="AX421" s="3" t="s">
        <v>5067</v>
      </c>
      <c r="AY421" s="3" t="s">
        <v>5068</v>
      </c>
      <c r="AZ421" s="3" t="s">
        <v>75</v>
      </c>
      <c r="BC421" s="3" t="s">
        <v>5069</v>
      </c>
      <c r="BD421" s="3" t="s">
        <v>5070</v>
      </c>
    </row>
    <row r="422" spans="1:56" ht="44.25" customHeight="1" x14ac:dyDescent="0.25">
      <c r="A422" s="7" t="s">
        <v>61</v>
      </c>
      <c r="B422" s="2" t="s">
        <v>5071</v>
      </c>
      <c r="C422" s="2" t="s">
        <v>5072</v>
      </c>
      <c r="D422" s="2" t="s">
        <v>5073</v>
      </c>
      <c r="F422" s="3" t="s">
        <v>61</v>
      </c>
      <c r="G422" s="3" t="s">
        <v>60</v>
      </c>
      <c r="H422" s="3" t="s">
        <v>61</v>
      </c>
      <c r="I422" s="3" t="s">
        <v>61</v>
      </c>
      <c r="J422" s="3" t="s">
        <v>62</v>
      </c>
      <c r="K422" s="2" t="s">
        <v>5074</v>
      </c>
      <c r="L422" s="2" t="s">
        <v>5075</v>
      </c>
      <c r="M422" s="3" t="s">
        <v>784</v>
      </c>
      <c r="N422" s="2" t="s">
        <v>306</v>
      </c>
      <c r="O422" s="3" t="s">
        <v>114</v>
      </c>
      <c r="P422" s="3" t="s">
        <v>235</v>
      </c>
      <c r="R422" s="3" t="s">
        <v>68</v>
      </c>
      <c r="S422" s="4">
        <v>2</v>
      </c>
      <c r="T422" s="4">
        <v>2</v>
      </c>
      <c r="U422" s="5" t="s">
        <v>5017</v>
      </c>
      <c r="V422" s="5" t="s">
        <v>5017</v>
      </c>
      <c r="W422" s="5" t="s">
        <v>4864</v>
      </c>
      <c r="X422" s="5" t="s">
        <v>4864</v>
      </c>
      <c r="Y422" s="4">
        <v>961</v>
      </c>
      <c r="Z422" s="4">
        <v>897</v>
      </c>
      <c r="AA422" s="4">
        <v>940</v>
      </c>
      <c r="AB422" s="4">
        <v>7</v>
      </c>
      <c r="AC422" s="4">
        <v>7</v>
      </c>
      <c r="AD422" s="4">
        <v>23</v>
      </c>
      <c r="AE422" s="4">
        <v>27</v>
      </c>
      <c r="AF422" s="4">
        <v>8</v>
      </c>
      <c r="AG422" s="4">
        <v>10</v>
      </c>
      <c r="AH422" s="4">
        <v>5</v>
      </c>
      <c r="AI422" s="4">
        <v>6</v>
      </c>
      <c r="AJ422" s="4">
        <v>13</v>
      </c>
      <c r="AK422" s="4">
        <v>16</v>
      </c>
      <c r="AL422" s="4">
        <v>4</v>
      </c>
      <c r="AM422" s="4">
        <v>4</v>
      </c>
      <c r="AN422" s="4">
        <v>0</v>
      </c>
      <c r="AO422" s="4">
        <v>0</v>
      </c>
      <c r="AP422" s="3" t="s">
        <v>61</v>
      </c>
      <c r="AQ422" s="3" t="s">
        <v>59</v>
      </c>
      <c r="AR422" s="6" t="str">
        <f>HYPERLINK("http://catalog.hathitrust.org/Record/000555601","HathiTrust Record")</f>
        <v>HathiTrust Record</v>
      </c>
      <c r="AS422" s="6" t="str">
        <f>HYPERLINK("https://creighton-primo.hosted.exlibrisgroup.com/primo-explore/search?tab=default_tab&amp;search_scope=EVERYTHING&amp;vid=01CRU&amp;lang=en_US&amp;offset=0&amp;query=any,contains,991002671919702656","Catalog Record")</f>
        <v>Catalog Record</v>
      </c>
      <c r="AT422" s="6" t="str">
        <f>HYPERLINK("http://www.worldcat.org/oclc/395578","WorldCat Record")</f>
        <v>WorldCat Record</v>
      </c>
      <c r="AU422" s="3" t="s">
        <v>5076</v>
      </c>
      <c r="AV422" s="3" t="s">
        <v>5077</v>
      </c>
      <c r="AW422" s="3" t="s">
        <v>5078</v>
      </c>
      <c r="AX422" s="3" t="s">
        <v>5078</v>
      </c>
      <c r="AY422" s="3" t="s">
        <v>5079</v>
      </c>
      <c r="AZ422" s="3" t="s">
        <v>75</v>
      </c>
      <c r="BC422" s="3" t="s">
        <v>5080</v>
      </c>
      <c r="BD422" s="3" t="s">
        <v>5081</v>
      </c>
    </row>
    <row r="423" spans="1:56" ht="44.25" customHeight="1" x14ac:dyDescent="0.25">
      <c r="A423" s="7" t="s">
        <v>61</v>
      </c>
      <c r="B423" s="2" t="s">
        <v>5082</v>
      </c>
      <c r="C423" s="2" t="s">
        <v>5083</v>
      </c>
      <c r="D423" s="2" t="s">
        <v>5084</v>
      </c>
      <c r="F423" s="3" t="s">
        <v>61</v>
      </c>
      <c r="G423" s="3" t="s">
        <v>60</v>
      </c>
      <c r="H423" s="3" t="s">
        <v>61</v>
      </c>
      <c r="I423" s="3" t="s">
        <v>61</v>
      </c>
      <c r="J423" s="3" t="s">
        <v>62</v>
      </c>
      <c r="K423" s="2" t="s">
        <v>5085</v>
      </c>
      <c r="L423" s="2" t="s">
        <v>5086</v>
      </c>
      <c r="M423" s="3" t="s">
        <v>205</v>
      </c>
      <c r="O423" s="3" t="s">
        <v>114</v>
      </c>
      <c r="P423" s="3" t="s">
        <v>235</v>
      </c>
      <c r="R423" s="3" t="s">
        <v>68</v>
      </c>
      <c r="S423" s="4">
        <v>3</v>
      </c>
      <c r="T423" s="4">
        <v>3</v>
      </c>
      <c r="U423" s="5" t="s">
        <v>4479</v>
      </c>
      <c r="V423" s="5" t="s">
        <v>4479</v>
      </c>
      <c r="W423" s="5" t="s">
        <v>2699</v>
      </c>
      <c r="X423" s="5" t="s">
        <v>2699</v>
      </c>
      <c r="Y423" s="4">
        <v>1544</v>
      </c>
      <c r="Z423" s="4">
        <v>1397</v>
      </c>
      <c r="AA423" s="4">
        <v>1405</v>
      </c>
      <c r="AB423" s="4">
        <v>12</v>
      </c>
      <c r="AC423" s="4">
        <v>12</v>
      </c>
      <c r="AD423" s="4">
        <v>48</v>
      </c>
      <c r="AE423" s="4">
        <v>48</v>
      </c>
      <c r="AF423" s="4">
        <v>21</v>
      </c>
      <c r="AG423" s="4">
        <v>21</v>
      </c>
      <c r="AH423" s="4">
        <v>9</v>
      </c>
      <c r="AI423" s="4">
        <v>9</v>
      </c>
      <c r="AJ423" s="4">
        <v>22</v>
      </c>
      <c r="AK423" s="4">
        <v>22</v>
      </c>
      <c r="AL423" s="4">
        <v>8</v>
      </c>
      <c r="AM423" s="4">
        <v>8</v>
      </c>
      <c r="AN423" s="4">
        <v>0</v>
      </c>
      <c r="AO423" s="4">
        <v>0</v>
      </c>
      <c r="AP423" s="3" t="s">
        <v>61</v>
      </c>
      <c r="AQ423" s="3" t="s">
        <v>59</v>
      </c>
      <c r="AR423" s="6" t="str">
        <f>HYPERLINK("http://catalog.hathitrust.org/Record/000246706","HathiTrust Record")</f>
        <v>HathiTrust Record</v>
      </c>
      <c r="AS423" s="6" t="str">
        <f>HYPERLINK("https://creighton-primo.hosted.exlibrisgroup.com/primo-explore/search?tab=default_tab&amp;search_scope=EVERYTHING&amp;vid=01CRU&amp;lang=en_US&amp;offset=0&amp;query=any,contains,991000426369702656","Catalog Record")</f>
        <v>Catalog Record</v>
      </c>
      <c r="AT423" s="6" t="str">
        <f>HYPERLINK("http://www.worldcat.org/oclc/10753606","WorldCat Record")</f>
        <v>WorldCat Record</v>
      </c>
      <c r="AU423" s="3" t="s">
        <v>5087</v>
      </c>
      <c r="AV423" s="3" t="s">
        <v>5088</v>
      </c>
      <c r="AW423" s="3" t="s">
        <v>5089</v>
      </c>
      <c r="AX423" s="3" t="s">
        <v>5089</v>
      </c>
      <c r="AY423" s="3" t="s">
        <v>5090</v>
      </c>
      <c r="AZ423" s="3" t="s">
        <v>75</v>
      </c>
      <c r="BB423" s="3" t="s">
        <v>5091</v>
      </c>
      <c r="BC423" s="3" t="s">
        <v>5092</v>
      </c>
      <c r="BD423" s="3" t="s">
        <v>5093</v>
      </c>
    </row>
    <row r="424" spans="1:56" ht="44.25" customHeight="1" x14ac:dyDescent="0.25">
      <c r="A424" s="7" t="s">
        <v>61</v>
      </c>
      <c r="B424" s="2" t="s">
        <v>5094</v>
      </c>
      <c r="C424" s="2" t="s">
        <v>5095</v>
      </c>
      <c r="D424" s="2" t="s">
        <v>5096</v>
      </c>
      <c r="F424" s="3" t="s">
        <v>61</v>
      </c>
      <c r="G424" s="3" t="s">
        <v>60</v>
      </c>
      <c r="H424" s="3" t="s">
        <v>61</v>
      </c>
      <c r="I424" s="3" t="s">
        <v>61</v>
      </c>
      <c r="J424" s="3" t="s">
        <v>62</v>
      </c>
      <c r="L424" s="2" t="s">
        <v>5097</v>
      </c>
      <c r="M424" s="3" t="s">
        <v>113</v>
      </c>
      <c r="O424" s="3" t="s">
        <v>114</v>
      </c>
      <c r="P424" s="3" t="s">
        <v>235</v>
      </c>
      <c r="Q424" s="2" t="s">
        <v>5098</v>
      </c>
      <c r="R424" s="3" t="s">
        <v>68</v>
      </c>
      <c r="S424" s="4">
        <v>4</v>
      </c>
      <c r="T424" s="4">
        <v>4</v>
      </c>
      <c r="U424" s="5" t="s">
        <v>5099</v>
      </c>
      <c r="V424" s="5" t="s">
        <v>5099</v>
      </c>
      <c r="W424" s="5" t="s">
        <v>4864</v>
      </c>
      <c r="X424" s="5" t="s">
        <v>4864</v>
      </c>
      <c r="Y424" s="4">
        <v>377</v>
      </c>
      <c r="Z424" s="4">
        <v>341</v>
      </c>
      <c r="AA424" s="4">
        <v>355</v>
      </c>
      <c r="AB424" s="4">
        <v>3</v>
      </c>
      <c r="AC424" s="4">
        <v>3</v>
      </c>
      <c r="AD424" s="4">
        <v>14</v>
      </c>
      <c r="AE424" s="4">
        <v>14</v>
      </c>
      <c r="AF424" s="4">
        <v>6</v>
      </c>
      <c r="AG424" s="4">
        <v>6</v>
      </c>
      <c r="AH424" s="4">
        <v>2</v>
      </c>
      <c r="AI424" s="4">
        <v>2</v>
      </c>
      <c r="AJ424" s="4">
        <v>8</v>
      </c>
      <c r="AK424" s="4">
        <v>8</v>
      </c>
      <c r="AL424" s="4">
        <v>2</v>
      </c>
      <c r="AM424" s="4">
        <v>2</v>
      </c>
      <c r="AN424" s="4">
        <v>0</v>
      </c>
      <c r="AO424" s="4">
        <v>0</v>
      </c>
      <c r="AP424" s="3" t="s">
        <v>61</v>
      </c>
      <c r="AQ424" s="3" t="s">
        <v>59</v>
      </c>
      <c r="AR424" s="6" t="str">
        <f>HYPERLINK("http://catalog.hathitrust.org/Record/007115016","HathiTrust Record")</f>
        <v>HathiTrust Record</v>
      </c>
      <c r="AS424" s="6" t="str">
        <f>HYPERLINK("https://creighton-primo.hosted.exlibrisgroup.com/primo-explore/search?tab=default_tab&amp;search_scope=EVERYTHING&amp;vid=01CRU&amp;lang=en_US&amp;offset=0&amp;query=any,contains,991002360529702656","Catalog Record")</f>
        <v>Catalog Record</v>
      </c>
      <c r="AT424" s="6" t="str">
        <f>HYPERLINK("http://www.worldcat.org/oclc/325776","WorldCat Record")</f>
        <v>WorldCat Record</v>
      </c>
      <c r="AU424" s="3" t="s">
        <v>5100</v>
      </c>
      <c r="AV424" s="3" t="s">
        <v>5101</v>
      </c>
      <c r="AW424" s="3" t="s">
        <v>5102</v>
      </c>
      <c r="AX424" s="3" t="s">
        <v>5102</v>
      </c>
      <c r="AY424" s="3" t="s">
        <v>5103</v>
      </c>
      <c r="AZ424" s="3" t="s">
        <v>75</v>
      </c>
      <c r="BC424" s="3" t="s">
        <v>5104</v>
      </c>
      <c r="BD424" s="3" t="s">
        <v>5105</v>
      </c>
    </row>
    <row r="425" spans="1:56" ht="44.25" customHeight="1" x14ac:dyDescent="0.25">
      <c r="A425" s="7" t="s">
        <v>61</v>
      </c>
      <c r="B425" s="2" t="s">
        <v>5106</v>
      </c>
      <c r="C425" s="2" t="s">
        <v>5107</v>
      </c>
      <c r="D425" s="2" t="s">
        <v>5108</v>
      </c>
      <c r="F425" s="3" t="s">
        <v>61</v>
      </c>
      <c r="G425" s="3" t="s">
        <v>60</v>
      </c>
      <c r="H425" s="3" t="s">
        <v>61</v>
      </c>
      <c r="I425" s="3" t="s">
        <v>61</v>
      </c>
      <c r="J425" s="3" t="s">
        <v>62</v>
      </c>
      <c r="K425" s="2" t="s">
        <v>5109</v>
      </c>
      <c r="L425" s="2" t="s">
        <v>5110</v>
      </c>
      <c r="M425" s="3" t="s">
        <v>884</v>
      </c>
      <c r="N425" s="2" t="s">
        <v>3255</v>
      </c>
      <c r="O425" s="3" t="s">
        <v>114</v>
      </c>
      <c r="P425" s="3" t="s">
        <v>115</v>
      </c>
      <c r="Q425" s="2" t="s">
        <v>3402</v>
      </c>
      <c r="R425" s="3" t="s">
        <v>68</v>
      </c>
      <c r="S425" s="4">
        <v>2</v>
      </c>
      <c r="T425" s="4">
        <v>2</v>
      </c>
      <c r="U425" s="5" t="s">
        <v>5111</v>
      </c>
      <c r="V425" s="5" t="s">
        <v>5111</v>
      </c>
      <c r="W425" s="5" t="s">
        <v>4864</v>
      </c>
      <c r="X425" s="5" t="s">
        <v>4864</v>
      </c>
      <c r="Y425" s="4">
        <v>362</v>
      </c>
      <c r="Z425" s="4">
        <v>297</v>
      </c>
      <c r="AA425" s="4">
        <v>304</v>
      </c>
      <c r="AB425" s="4">
        <v>7</v>
      </c>
      <c r="AC425" s="4">
        <v>7</v>
      </c>
      <c r="AD425" s="4">
        <v>20</v>
      </c>
      <c r="AE425" s="4">
        <v>20</v>
      </c>
      <c r="AF425" s="4">
        <v>5</v>
      </c>
      <c r="AG425" s="4">
        <v>5</v>
      </c>
      <c r="AH425" s="4">
        <v>4</v>
      </c>
      <c r="AI425" s="4">
        <v>4</v>
      </c>
      <c r="AJ425" s="4">
        <v>12</v>
      </c>
      <c r="AK425" s="4">
        <v>12</v>
      </c>
      <c r="AL425" s="4">
        <v>6</v>
      </c>
      <c r="AM425" s="4">
        <v>6</v>
      </c>
      <c r="AN425" s="4">
        <v>0</v>
      </c>
      <c r="AO425" s="4">
        <v>0</v>
      </c>
      <c r="AP425" s="3" t="s">
        <v>61</v>
      </c>
      <c r="AQ425" s="3" t="s">
        <v>59</v>
      </c>
      <c r="AR425" s="6" t="str">
        <f>HYPERLINK("http://catalog.hathitrust.org/Record/000555734","HathiTrust Record")</f>
        <v>HathiTrust Record</v>
      </c>
      <c r="AS425" s="6" t="str">
        <f>HYPERLINK("https://creighton-primo.hosted.exlibrisgroup.com/primo-explore/search?tab=default_tab&amp;search_scope=EVERYTHING&amp;vid=01CRU&amp;lang=en_US&amp;offset=0&amp;query=any,contains,991000205559702656","Catalog Record")</f>
        <v>Catalog Record</v>
      </c>
      <c r="AT425" s="6" t="str">
        <f>HYPERLINK("http://www.worldcat.org/oclc/64904","WorldCat Record")</f>
        <v>WorldCat Record</v>
      </c>
      <c r="AU425" s="3" t="s">
        <v>5112</v>
      </c>
      <c r="AV425" s="3" t="s">
        <v>5113</v>
      </c>
      <c r="AW425" s="3" t="s">
        <v>5114</v>
      </c>
      <c r="AX425" s="3" t="s">
        <v>5114</v>
      </c>
      <c r="AY425" s="3" t="s">
        <v>5115</v>
      </c>
      <c r="AZ425" s="3" t="s">
        <v>75</v>
      </c>
      <c r="BC425" s="3" t="s">
        <v>5116</v>
      </c>
      <c r="BD425" s="3" t="s">
        <v>5117</v>
      </c>
    </row>
    <row r="426" spans="1:56" ht="44.25" customHeight="1" x14ac:dyDescent="0.25">
      <c r="A426" s="7" t="s">
        <v>61</v>
      </c>
      <c r="B426" s="2" t="s">
        <v>5118</v>
      </c>
      <c r="C426" s="2" t="s">
        <v>5119</v>
      </c>
      <c r="D426" s="2" t="s">
        <v>5120</v>
      </c>
      <c r="F426" s="3" t="s">
        <v>61</v>
      </c>
      <c r="G426" s="3" t="s">
        <v>60</v>
      </c>
      <c r="H426" s="3" t="s">
        <v>61</v>
      </c>
      <c r="I426" s="3" t="s">
        <v>61</v>
      </c>
      <c r="J426" s="3" t="s">
        <v>62</v>
      </c>
      <c r="K426" s="2" t="s">
        <v>5121</v>
      </c>
      <c r="L426" s="2" t="s">
        <v>5122</v>
      </c>
      <c r="M426" s="3" t="s">
        <v>5123</v>
      </c>
      <c r="O426" s="3" t="s">
        <v>114</v>
      </c>
      <c r="P426" s="3" t="s">
        <v>235</v>
      </c>
      <c r="R426" s="3" t="s">
        <v>68</v>
      </c>
      <c r="S426" s="4">
        <v>1</v>
      </c>
      <c r="T426" s="4">
        <v>1</v>
      </c>
      <c r="U426" s="5" t="s">
        <v>5124</v>
      </c>
      <c r="V426" s="5" t="s">
        <v>5124</v>
      </c>
      <c r="W426" s="5" t="s">
        <v>4864</v>
      </c>
      <c r="X426" s="5" t="s">
        <v>4864</v>
      </c>
      <c r="Y426" s="4">
        <v>123</v>
      </c>
      <c r="Z426" s="4">
        <v>113</v>
      </c>
      <c r="AA426" s="4">
        <v>132</v>
      </c>
      <c r="AB426" s="4">
        <v>1</v>
      </c>
      <c r="AC426" s="4">
        <v>1</v>
      </c>
      <c r="AD426" s="4">
        <v>10</v>
      </c>
      <c r="AE426" s="4">
        <v>10</v>
      </c>
      <c r="AF426" s="4">
        <v>1</v>
      </c>
      <c r="AG426" s="4">
        <v>1</v>
      </c>
      <c r="AH426" s="4">
        <v>4</v>
      </c>
      <c r="AI426" s="4">
        <v>4</v>
      </c>
      <c r="AJ426" s="4">
        <v>6</v>
      </c>
      <c r="AK426" s="4">
        <v>6</v>
      </c>
      <c r="AL426" s="4">
        <v>0</v>
      </c>
      <c r="AM426" s="4">
        <v>0</v>
      </c>
      <c r="AN426" s="4">
        <v>0</v>
      </c>
      <c r="AO426" s="4">
        <v>0</v>
      </c>
      <c r="AP426" s="3" t="s">
        <v>59</v>
      </c>
      <c r="AQ426" s="3" t="s">
        <v>61</v>
      </c>
      <c r="AR426" s="6" t="str">
        <f>HYPERLINK("http://catalog.hathitrust.org/Record/000204861","HathiTrust Record")</f>
        <v>HathiTrust Record</v>
      </c>
      <c r="AS426" s="6" t="str">
        <f>HYPERLINK("https://creighton-primo.hosted.exlibrisgroup.com/primo-explore/search?tab=default_tab&amp;search_scope=EVERYTHING&amp;vid=01CRU&amp;lang=en_US&amp;offset=0&amp;query=any,contains,991003853139702656","Catalog Record")</f>
        <v>Catalog Record</v>
      </c>
      <c r="AT426" s="6" t="str">
        <f>HYPERLINK("http://www.worldcat.org/oclc/1649343","WorldCat Record")</f>
        <v>WorldCat Record</v>
      </c>
      <c r="AU426" s="3" t="s">
        <v>5125</v>
      </c>
      <c r="AV426" s="3" t="s">
        <v>5126</v>
      </c>
      <c r="AW426" s="3" t="s">
        <v>5127</v>
      </c>
      <c r="AX426" s="3" t="s">
        <v>5127</v>
      </c>
      <c r="AY426" s="3" t="s">
        <v>5128</v>
      </c>
      <c r="AZ426" s="3" t="s">
        <v>75</v>
      </c>
      <c r="BC426" s="3" t="s">
        <v>5129</v>
      </c>
      <c r="BD426" s="3" t="s">
        <v>5130</v>
      </c>
    </row>
    <row r="427" spans="1:56" ht="44.25" customHeight="1" x14ac:dyDescent="0.25">
      <c r="A427" s="7" t="s">
        <v>61</v>
      </c>
      <c r="B427" s="2" t="s">
        <v>5131</v>
      </c>
      <c r="C427" s="2" t="s">
        <v>5132</v>
      </c>
      <c r="D427" s="2" t="s">
        <v>5133</v>
      </c>
      <c r="F427" s="3" t="s">
        <v>61</v>
      </c>
      <c r="G427" s="3" t="s">
        <v>60</v>
      </c>
      <c r="H427" s="3" t="s">
        <v>61</v>
      </c>
      <c r="I427" s="3" t="s">
        <v>61</v>
      </c>
      <c r="J427" s="3" t="s">
        <v>62</v>
      </c>
      <c r="K427" s="2" t="s">
        <v>5134</v>
      </c>
      <c r="L427" s="2" t="s">
        <v>5135</v>
      </c>
      <c r="M427" s="3" t="s">
        <v>1596</v>
      </c>
      <c r="O427" s="3" t="s">
        <v>114</v>
      </c>
      <c r="P427" s="3" t="s">
        <v>5136</v>
      </c>
      <c r="R427" s="3" t="s">
        <v>68</v>
      </c>
      <c r="S427" s="4">
        <v>1</v>
      </c>
      <c r="T427" s="4">
        <v>1</v>
      </c>
      <c r="U427" s="5" t="s">
        <v>5137</v>
      </c>
      <c r="V427" s="5" t="s">
        <v>5137</v>
      </c>
      <c r="W427" s="5" t="s">
        <v>4208</v>
      </c>
      <c r="X427" s="5" t="s">
        <v>4208</v>
      </c>
      <c r="Y427" s="4">
        <v>338</v>
      </c>
      <c r="Z427" s="4">
        <v>258</v>
      </c>
      <c r="AA427" s="4">
        <v>316</v>
      </c>
      <c r="AB427" s="4">
        <v>4</v>
      </c>
      <c r="AC427" s="4">
        <v>4</v>
      </c>
      <c r="AD427" s="4">
        <v>15</v>
      </c>
      <c r="AE427" s="4">
        <v>19</v>
      </c>
      <c r="AF427" s="4">
        <v>5</v>
      </c>
      <c r="AG427" s="4">
        <v>9</v>
      </c>
      <c r="AH427" s="4">
        <v>5</v>
      </c>
      <c r="AI427" s="4">
        <v>6</v>
      </c>
      <c r="AJ427" s="4">
        <v>8</v>
      </c>
      <c r="AK427" s="4">
        <v>8</v>
      </c>
      <c r="AL427" s="4">
        <v>3</v>
      </c>
      <c r="AM427" s="4">
        <v>3</v>
      </c>
      <c r="AN427" s="4">
        <v>0</v>
      </c>
      <c r="AO427" s="4">
        <v>0</v>
      </c>
      <c r="AP427" s="3" t="s">
        <v>61</v>
      </c>
      <c r="AQ427" s="3" t="s">
        <v>61</v>
      </c>
      <c r="AS427" s="6" t="str">
        <f>HYPERLINK("https://creighton-primo.hosted.exlibrisgroup.com/primo-explore/search?tab=default_tab&amp;search_scope=EVERYTHING&amp;vid=01CRU&amp;lang=en_US&amp;offset=0&amp;query=any,contains,991004144189702656","Catalog Record")</f>
        <v>Catalog Record</v>
      </c>
      <c r="AT427" s="6" t="str">
        <f>HYPERLINK("http://www.worldcat.org/oclc/2506956","WorldCat Record")</f>
        <v>WorldCat Record</v>
      </c>
      <c r="AU427" s="3" t="s">
        <v>5138</v>
      </c>
      <c r="AV427" s="3" t="s">
        <v>5139</v>
      </c>
      <c r="AW427" s="3" t="s">
        <v>5140</v>
      </c>
      <c r="AX427" s="3" t="s">
        <v>5140</v>
      </c>
      <c r="AY427" s="3" t="s">
        <v>5141</v>
      </c>
      <c r="AZ427" s="3" t="s">
        <v>75</v>
      </c>
      <c r="BB427" s="3" t="s">
        <v>5142</v>
      </c>
      <c r="BC427" s="3" t="s">
        <v>5143</v>
      </c>
      <c r="BD427" s="3" t="s">
        <v>5144</v>
      </c>
    </row>
    <row r="428" spans="1:56" ht="44.25" customHeight="1" x14ac:dyDescent="0.25">
      <c r="A428" s="7" t="s">
        <v>61</v>
      </c>
      <c r="B428" s="2" t="s">
        <v>5145</v>
      </c>
      <c r="C428" s="2" t="s">
        <v>5146</v>
      </c>
      <c r="D428" s="2" t="s">
        <v>5147</v>
      </c>
      <c r="F428" s="3" t="s">
        <v>61</v>
      </c>
      <c r="G428" s="3" t="s">
        <v>60</v>
      </c>
      <c r="H428" s="3" t="s">
        <v>61</v>
      </c>
      <c r="I428" s="3" t="s">
        <v>61</v>
      </c>
      <c r="J428" s="3" t="s">
        <v>62</v>
      </c>
      <c r="K428" s="2" t="s">
        <v>4476</v>
      </c>
      <c r="L428" s="2" t="s">
        <v>5148</v>
      </c>
      <c r="M428" s="3" t="s">
        <v>5123</v>
      </c>
      <c r="O428" s="3" t="s">
        <v>114</v>
      </c>
      <c r="P428" s="3" t="s">
        <v>1114</v>
      </c>
      <c r="R428" s="3" t="s">
        <v>68</v>
      </c>
      <c r="S428" s="4">
        <v>2</v>
      </c>
      <c r="T428" s="4">
        <v>2</v>
      </c>
      <c r="U428" s="5" t="s">
        <v>5149</v>
      </c>
      <c r="V428" s="5" t="s">
        <v>5149</v>
      </c>
      <c r="W428" s="5" t="s">
        <v>4083</v>
      </c>
      <c r="X428" s="5" t="s">
        <v>4083</v>
      </c>
      <c r="Y428" s="4">
        <v>262</v>
      </c>
      <c r="Z428" s="4">
        <v>219</v>
      </c>
      <c r="AA428" s="4">
        <v>836</v>
      </c>
      <c r="AB428" s="4">
        <v>4</v>
      </c>
      <c r="AC428" s="4">
        <v>7</v>
      </c>
      <c r="AD428" s="4">
        <v>16</v>
      </c>
      <c r="AE428" s="4">
        <v>47</v>
      </c>
      <c r="AF428" s="4">
        <v>8</v>
      </c>
      <c r="AG428" s="4">
        <v>19</v>
      </c>
      <c r="AH428" s="4">
        <v>4</v>
      </c>
      <c r="AI428" s="4">
        <v>11</v>
      </c>
      <c r="AJ428" s="4">
        <v>5</v>
      </c>
      <c r="AK428" s="4">
        <v>20</v>
      </c>
      <c r="AL428" s="4">
        <v>3</v>
      </c>
      <c r="AM428" s="4">
        <v>5</v>
      </c>
      <c r="AN428" s="4">
        <v>0</v>
      </c>
      <c r="AO428" s="4">
        <v>2</v>
      </c>
      <c r="AP428" s="3" t="s">
        <v>59</v>
      </c>
      <c r="AQ428" s="3" t="s">
        <v>61</v>
      </c>
      <c r="AR428" s="6" t="str">
        <f>HYPERLINK("http://catalog.hathitrust.org/Record/009576328","HathiTrust Record")</f>
        <v>HathiTrust Record</v>
      </c>
      <c r="AS428" s="6" t="str">
        <f>HYPERLINK("https://creighton-primo.hosted.exlibrisgroup.com/primo-explore/search?tab=default_tab&amp;search_scope=EVERYTHING&amp;vid=01CRU&amp;lang=en_US&amp;offset=0&amp;query=any,contains,991003557719702656","Catalog Record")</f>
        <v>Catalog Record</v>
      </c>
      <c r="AT428" s="6" t="str">
        <f>HYPERLINK("http://www.worldcat.org/oclc/1126899","WorldCat Record")</f>
        <v>WorldCat Record</v>
      </c>
      <c r="AU428" s="3" t="s">
        <v>5150</v>
      </c>
      <c r="AV428" s="3" t="s">
        <v>5151</v>
      </c>
      <c r="AW428" s="3" t="s">
        <v>5152</v>
      </c>
      <c r="AX428" s="3" t="s">
        <v>5152</v>
      </c>
      <c r="AY428" s="3" t="s">
        <v>5153</v>
      </c>
      <c r="AZ428" s="3" t="s">
        <v>75</v>
      </c>
      <c r="BC428" s="3" t="s">
        <v>5154</v>
      </c>
      <c r="BD428" s="3" t="s">
        <v>5155</v>
      </c>
    </row>
    <row r="429" spans="1:56" ht="44.25" customHeight="1" x14ac:dyDescent="0.25">
      <c r="A429" s="7" t="s">
        <v>61</v>
      </c>
      <c r="B429" s="2" t="s">
        <v>5156</v>
      </c>
      <c r="C429" s="2" t="s">
        <v>5157</v>
      </c>
      <c r="D429" s="2" t="s">
        <v>5158</v>
      </c>
      <c r="F429" s="3" t="s">
        <v>61</v>
      </c>
      <c r="G429" s="3" t="s">
        <v>60</v>
      </c>
      <c r="H429" s="3" t="s">
        <v>61</v>
      </c>
      <c r="I429" s="3" t="s">
        <v>61</v>
      </c>
      <c r="J429" s="3" t="s">
        <v>62</v>
      </c>
      <c r="K429" s="2" t="s">
        <v>5159</v>
      </c>
      <c r="L429" s="2" t="s">
        <v>5160</v>
      </c>
      <c r="M429" s="3" t="s">
        <v>5161</v>
      </c>
      <c r="O429" s="3" t="s">
        <v>114</v>
      </c>
      <c r="P429" s="3" t="s">
        <v>67</v>
      </c>
      <c r="R429" s="3" t="s">
        <v>68</v>
      </c>
      <c r="S429" s="4">
        <v>1</v>
      </c>
      <c r="T429" s="4">
        <v>1</v>
      </c>
      <c r="U429" s="5" t="s">
        <v>5162</v>
      </c>
      <c r="V429" s="5" t="s">
        <v>5162</v>
      </c>
      <c r="W429" s="5" t="s">
        <v>5163</v>
      </c>
      <c r="X429" s="5" t="s">
        <v>5163</v>
      </c>
      <c r="Y429" s="4">
        <v>342</v>
      </c>
      <c r="Z429" s="4">
        <v>326</v>
      </c>
      <c r="AA429" s="4">
        <v>382</v>
      </c>
      <c r="AB429" s="4">
        <v>3</v>
      </c>
      <c r="AC429" s="4">
        <v>4</v>
      </c>
      <c r="AD429" s="4">
        <v>16</v>
      </c>
      <c r="AE429" s="4">
        <v>18</v>
      </c>
      <c r="AF429" s="4">
        <v>3</v>
      </c>
      <c r="AG429" s="4">
        <v>4</v>
      </c>
      <c r="AH429" s="4">
        <v>4</v>
      </c>
      <c r="AI429" s="4">
        <v>4</v>
      </c>
      <c r="AJ429" s="4">
        <v>8</v>
      </c>
      <c r="AK429" s="4">
        <v>9</v>
      </c>
      <c r="AL429" s="4">
        <v>2</v>
      </c>
      <c r="AM429" s="4">
        <v>3</v>
      </c>
      <c r="AN429" s="4">
        <v>0</v>
      </c>
      <c r="AO429" s="4">
        <v>0</v>
      </c>
      <c r="AP429" s="3" t="s">
        <v>59</v>
      </c>
      <c r="AQ429" s="3" t="s">
        <v>61</v>
      </c>
      <c r="AR429" s="6" t="str">
        <f>HYPERLINK("http://catalog.hathitrust.org/Record/000555712","HathiTrust Record")</f>
        <v>HathiTrust Record</v>
      </c>
      <c r="AS429" s="6" t="str">
        <f>HYPERLINK("https://creighton-primo.hosted.exlibrisgroup.com/primo-explore/search?tab=default_tab&amp;search_scope=EVERYTHING&amp;vid=01CRU&amp;lang=en_US&amp;offset=0&amp;query=any,contains,991003557869702656","Catalog Record")</f>
        <v>Catalog Record</v>
      </c>
      <c r="AT429" s="6" t="str">
        <f>HYPERLINK("http://www.worldcat.org/oclc/1127091","WorldCat Record")</f>
        <v>WorldCat Record</v>
      </c>
      <c r="AU429" s="3" t="s">
        <v>5164</v>
      </c>
      <c r="AV429" s="3" t="s">
        <v>5165</v>
      </c>
      <c r="AW429" s="3" t="s">
        <v>5166</v>
      </c>
      <c r="AX429" s="3" t="s">
        <v>5166</v>
      </c>
      <c r="AY429" s="3" t="s">
        <v>5167</v>
      </c>
      <c r="AZ429" s="3" t="s">
        <v>75</v>
      </c>
      <c r="BC429" s="3" t="s">
        <v>5168</v>
      </c>
      <c r="BD429" s="3" t="s">
        <v>5169</v>
      </c>
    </row>
    <row r="430" spans="1:56" ht="44.25" customHeight="1" x14ac:dyDescent="0.25">
      <c r="A430" s="7" t="s">
        <v>61</v>
      </c>
      <c r="B430" s="2" t="s">
        <v>5170</v>
      </c>
      <c r="C430" s="2" t="s">
        <v>5171</v>
      </c>
      <c r="D430" s="2" t="s">
        <v>5172</v>
      </c>
      <c r="F430" s="3" t="s">
        <v>61</v>
      </c>
      <c r="G430" s="3" t="s">
        <v>60</v>
      </c>
      <c r="H430" s="3" t="s">
        <v>61</v>
      </c>
      <c r="I430" s="3" t="s">
        <v>61</v>
      </c>
      <c r="J430" s="3" t="s">
        <v>62</v>
      </c>
      <c r="K430" s="2" t="s">
        <v>5173</v>
      </c>
      <c r="L430" s="2" t="s">
        <v>5174</v>
      </c>
      <c r="M430" s="3" t="s">
        <v>495</v>
      </c>
      <c r="O430" s="3" t="s">
        <v>114</v>
      </c>
      <c r="P430" s="3" t="s">
        <v>192</v>
      </c>
      <c r="R430" s="3" t="s">
        <v>68</v>
      </c>
      <c r="S430" s="4">
        <v>1</v>
      </c>
      <c r="T430" s="4">
        <v>1</v>
      </c>
      <c r="U430" s="5" t="s">
        <v>5162</v>
      </c>
      <c r="V430" s="5" t="s">
        <v>5162</v>
      </c>
      <c r="W430" s="5" t="s">
        <v>5175</v>
      </c>
      <c r="X430" s="5" t="s">
        <v>5175</v>
      </c>
      <c r="Y430" s="4">
        <v>588</v>
      </c>
      <c r="Z430" s="4">
        <v>448</v>
      </c>
      <c r="AA430" s="4">
        <v>573</v>
      </c>
      <c r="AB430" s="4">
        <v>4</v>
      </c>
      <c r="AC430" s="4">
        <v>5</v>
      </c>
      <c r="AD430" s="4">
        <v>32</v>
      </c>
      <c r="AE430" s="4">
        <v>36</v>
      </c>
      <c r="AF430" s="4">
        <v>12</v>
      </c>
      <c r="AG430" s="4">
        <v>15</v>
      </c>
      <c r="AH430" s="4">
        <v>10</v>
      </c>
      <c r="AI430" s="4">
        <v>11</v>
      </c>
      <c r="AJ430" s="4">
        <v>17</v>
      </c>
      <c r="AK430" s="4">
        <v>17</v>
      </c>
      <c r="AL430" s="4">
        <v>3</v>
      </c>
      <c r="AM430" s="4">
        <v>4</v>
      </c>
      <c r="AN430" s="4">
        <v>0</v>
      </c>
      <c r="AO430" s="4">
        <v>0</v>
      </c>
      <c r="AP430" s="3" t="s">
        <v>61</v>
      </c>
      <c r="AQ430" s="3" t="s">
        <v>61</v>
      </c>
      <c r="AS430" s="6" t="str">
        <f>HYPERLINK("https://creighton-primo.hosted.exlibrisgroup.com/primo-explore/search?tab=default_tab&amp;search_scope=EVERYTHING&amp;vid=01CRU&amp;lang=en_US&amp;offset=0&amp;query=any,contains,991002546099702656","Catalog Record")</f>
        <v>Catalog Record</v>
      </c>
      <c r="AT430" s="6" t="str">
        <f>HYPERLINK("http://www.worldcat.org/oclc/33079190","WorldCat Record")</f>
        <v>WorldCat Record</v>
      </c>
      <c r="AU430" s="3" t="s">
        <v>5176</v>
      </c>
      <c r="AV430" s="3" t="s">
        <v>5177</v>
      </c>
      <c r="AW430" s="3" t="s">
        <v>5178</v>
      </c>
      <c r="AX430" s="3" t="s">
        <v>5178</v>
      </c>
      <c r="AY430" s="3" t="s">
        <v>5179</v>
      </c>
      <c r="AZ430" s="3" t="s">
        <v>75</v>
      </c>
      <c r="BB430" s="3" t="s">
        <v>5180</v>
      </c>
      <c r="BC430" s="3" t="s">
        <v>5181</v>
      </c>
      <c r="BD430" s="3" t="s">
        <v>5182</v>
      </c>
    </row>
    <row r="431" spans="1:56" ht="44.25" customHeight="1" x14ac:dyDescent="0.25">
      <c r="A431" s="7" t="s">
        <v>61</v>
      </c>
      <c r="B431" s="2" t="s">
        <v>5183</v>
      </c>
      <c r="C431" s="2" t="s">
        <v>5184</v>
      </c>
      <c r="D431" s="2" t="s">
        <v>5185</v>
      </c>
      <c r="F431" s="3" t="s">
        <v>61</v>
      </c>
      <c r="G431" s="3" t="s">
        <v>60</v>
      </c>
      <c r="H431" s="3" t="s">
        <v>61</v>
      </c>
      <c r="I431" s="3" t="s">
        <v>61</v>
      </c>
      <c r="J431" s="3" t="s">
        <v>62</v>
      </c>
      <c r="K431" s="2" t="s">
        <v>5173</v>
      </c>
      <c r="L431" s="2" t="s">
        <v>5186</v>
      </c>
      <c r="M431" s="3" t="s">
        <v>796</v>
      </c>
      <c r="O431" s="3" t="s">
        <v>114</v>
      </c>
      <c r="P431" s="3" t="s">
        <v>192</v>
      </c>
      <c r="R431" s="3" t="s">
        <v>68</v>
      </c>
      <c r="S431" s="4">
        <v>3</v>
      </c>
      <c r="T431" s="4">
        <v>3</v>
      </c>
      <c r="U431" s="5" t="s">
        <v>5162</v>
      </c>
      <c r="V431" s="5" t="s">
        <v>5162</v>
      </c>
      <c r="W431" s="5" t="s">
        <v>5187</v>
      </c>
      <c r="X431" s="5" t="s">
        <v>5187</v>
      </c>
      <c r="Y431" s="4">
        <v>627</v>
      </c>
      <c r="Z431" s="4">
        <v>428</v>
      </c>
      <c r="AA431" s="4">
        <v>438</v>
      </c>
      <c r="AB431" s="4">
        <v>3</v>
      </c>
      <c r="AC431" s="4">
        <v>3</v>
      </c>
      <c r="AD431" s="4">
        <v>25</v>
      </c>
      <c r="AE431" s="4">
        <v>25</v>
      </c>
      <c r="AF431" s="4">
        <v>10</v>
      </c>
      <c r="AG431" s="4">
        <v>10</v>
      </c>
      <c r="AH431" s="4">
        <v>8</v>
      </c>
      <c r="AI431" s="4">
        <v>8</v>
      </c>
      <c r="AJ431" s="4">
        <v>13</v>
      </c>
      <c r="AK431" s="4">
        <v>13</v>
      </c>
      <c r="AL431" s="4">
        <v>2</v>
      </c>
      <c r="AM431" s="4">
        <v>2</v>
      </c>
      <c r="AN431" s="4">
        <v>0</v>
      </c>
      <c r="AO431" s="4">
        <v>0</v>
      </c>
      <c r="AP431" s="3" t="s">
        <v>61</v>
      </c>
      <c r="AQ431" s="3" t="s">
        <v>59</v>
      </c>
      <c r="AR431" s="6" t="str">
        <f>HYPERLINK("http://catalog.hathitrust.org/Record/000874968","HathiTrust Record")</f>
        <v>HathiTrust Record</v>
      </c>
      <c r="AS431" s="6" t="str">
        <f>HYPERLINK("https://creighton-primo.hosted.exlibrisgroup.com/primo-explore/search?tab=default_tab&amp;search_scope=EVERYTHING&amp;vid=01CRU&amp;lang=en_US&amp;offset=0&amp;query=any,contains,991001154329702656","Catalog Record")</f>
        <v>Catalog Record</v>
      </c>
      <c r="AT431" s="6" t="str">
        <f>HYPERLINK("http://www.worldcat.org/oclc/16833256","WorldCat Record")</f>
        <v>WorldCat Record</v>
      </c>
      <c r="AU431" s="3" t="s">
        <v>5188</v>
      </c>
      <c r="AV431" s="3" t="s">
        <v>5189</v>
      </c>
      <c r="AW431" s="3" t="s">
        <v>5190</v>
      </c>
      <c r="AX431" s="3" t="s">
        <v>5190</v>
      </c>
      <c r="AY431" s="3" t="s">
        <v>5191</v>
      </c>
      <c r="AZ431" s="3" t="s">
        <v>75</v>
      </c>
      <c r="BB431" s="3" t="s">
        <v>5192</v>
      </c>
      <c r="BC431" s="3" t="s">
        <v>5193</v>
      </c>
      <c r="BD431" s="3" t="s">
        <v>5194</v>
      </c>
    </row>
    <row r="432" spans="1:56" ht="44.25" customHeight="1" x14ac:dyDescent="0.25">
      <c r="A432" s="7" t="s">
        <v>61</v>
      </c>
      <c r="B432" s="2" t="s">
        <v>5195</v>
      </c>
      <c r="C432" s="2" t="s">
        <v>5196</v>
      </c>
      <c r="D432" s="2" t="s">
        <v>5197</v>
      </c>
      <c r="F432" s="3" t="s">
        <v>61</v>
      </c>
      <c r="G432" s="3" t="s">
        <v>60</v>
      </c>
      <c r="H432" s="3" t="s">
        <v>61</v>
      </c>
      <c r="I432" s="3" t="s">
        <v>61</v>
      </c>
      <c r="J432" s="3" t="s">
        <v>62</v>
      </c>
      <c r="K432" s="2" t="s">
        <v>5198</v>
      </c>
      <c r="L432" s="2" t="s">
        <v>5199</v>
      </c>
      <c r="M432" s="3" t="s">
        <v>2323</v>
      </c>
      <c r="O432" s="3" t="s">
        <v>114</v>
      </c>
      <c r="P432" s="3" t="s">
        <v>235</v>
      </c>
      <c r="Q432" s="2" t="s">
        <v>5200</v>
      </c>
      <c r="R432" s="3" t="s">
        <v>68</v>
      </c>
      <c r="S432" s="4">
        <v>2</v>
      </c>
      <c r="T432" s="4">
        <v>2</v>
      </c>
      <c r="U432" s="5" t="s">
        <v>5201</v>
      </c>
      <c r="V432" s="5" t="s">
        <v>5201</v>
      </c>
      <c r="W432" s="5" t="s">
        <v>5201</v>
      </c>
      <c r="X432" s="5" t="s">
        <v>5201</v>
      </c>
      <c r="Y432" s="4">
        <v>358</v>
      </c>
      <c r="Z432" s="4">
        <v>280</v>
      </c>
      <c r="AA432" s="4">
        <v>695</v>
      </c>
      <c r="AB432" s="4">
        <v>2</v>
      </c>
      <c r="AC432" s="4">
        <v>6</v>
      </c>
      <c r="AD432" s="4">
        <v>12</v>
      </c>
      <c r="AE432" s="4">
        <v>34</v>
      </c>
      <c r="AF432" s="4">
        <v>6</v>
      </c>
      <c r="AG432" s="4">
        <v>14</v>
      </c>
      <c r="AH432" s="4">
        <v>2</v>
      </c>
      <c r="AI432" s="4">
        <v>8</v>
      </c>
      <c r="AJ432" s="4">
        <v>8</v>
      </c>
      <c r="AK432" s="4">
        <v>16</v>
      </c>
      <c r="AL432" s="4">
        <v>1</v>
      </c>
      <c r="AM432" s="4">
        <v>5</v>
      </c>
      <c r="AN432" s="4">
        <v>0</v>
      </c>
      <c r="AO432" s="4">
        <v>0</v>
      </c>
      <c r="AP432" s="3" t="s">
        <v>61</v>
      </c>
      <c r="AQ432" s="3" t="s">
        <v>61</v>
      </c>
      <c r="AS432" s="6" t="str">
        <f>HYPERLINK("https://creighton-primo.hosted.exlibrisgroup.com/primo-explore/search?tab=default_tab&amp;search_scope=EVERYTHING&amp;vid=01CRU&amp;lang=en_US&amp;offset=0&amp;query=any,contains,991004504829702656","Catalog Record")</f>
        <v>Catalog Record</v>
      </c>
      <c r="AT432" s="6" t="str">
        <f>HYPERLINK("http://www.worldcat.org/oclc/53144730","WorldCat Record")</f>
        <v>WorldCat Record</v>
      </c>
      <c r="AU432" s="3" t="s">
        <v>5202</v>
      </c>
      <c r="AV432" s="3" t="s">
        <v>5203</v>
      </c>
      <c r="AW432" s="3" t="s">
        <v>5204</v>
      </c>
      <c r="AX432" s="3" t="s">
        <v>5204</v>
      </c>
      <c r="AY432" s="3" t="s">
        <v>5205</v>
      </c>
      <c r="AZ432" s="3" t="s">
        <v>75</v>
      </c>
      <c r="BB432" s="3" t="s">
        <v>5206</v>
      </c>
      <c r="BC432" s="3" t="s">
        <v>5207</v>
      </c>
      <c r="BD432" s="3" t="s">
        <v>5208</v>
      </c>
    </row>
    <row r="433" spans="1:56" ht="44.25" customHeight="1" x14ac:dyDescent="0.25">
      <c r="A433" s="7" t="s">
        <v>61</v>
      </c>
      <c r="B433" s="2" t="s">
        <v>5209</v>
      </c>
      <c r="C433" s="2" t="s">
        <v>5210</v>
      </c>
      <c r="D433" s="2" t="s">
        <v>5211</v>
      </c>
      <c r="F433" s="3" t="s">
        <v>61</v>
      </c>
      <c r="G433" s="3" t="s">
        <v>60</v>
      </c>
      <c r="H433" s="3" t="s">
        <v>61</v>
      </c>
      <c r="I433" s="3" t="s">
        <v>61</v>
      </c>
      <c r="J433" s="3" t="s">
        <v>62</v>
      </c>
      <c r="K433" s="2" t="s">
        <v>5212</v>
      </c>
      <c r="L433" s="2" t="s">
        <v>5213</v>
      </c>
      <c r="M433" s="3" t="s">
        <v>1319</v>
      </c>
      <c r="N433" s="2" t="s">
        <v>679</v>
      </c>
      <c r="O433" s="3" t="s">
        <v>114</v>
      </c>
      <c r="P433" s="3" t="s">
        <v>235</v>
      </c>
      <c r="R433" s="3" t="s">
        <v>68</v>
      </c>
      <c r="S433" s="4">
        <v>1</v>
      </c>
      <c r="T433" s="4">
        <v>1</v>
      </c>
      <c r="U433" s="5" t="s">
        <v>5162</v>
      </c>
      <c r="V433" s="5" t="s">
        <v>5162</v>
      </c>
      <c r="W433" s="5" t="s">
        <v>4083</v>
      </c>
      <c r="X433" s="5" t="s">
        <v>4083</v>
      </c>
      <c r="Y433" s="4">
        <v>740</v>
      </c>
      <c r="Z433" s="4">
        <v>717</v>
      </c>
      <c r="AA433" s="4">
        <v>777</v>
      </c>
      <c r="AB433" s="4">
        <v>6</v>
      </c>
      <c r="AC433" s="4">
        <v>8</v>
      </c>
      <c r="AD433" s="4">
        <v>27</v>
      </c>
      <c r="AE433" s="4">
        <v>29</v>
      </c>
      <c r="AF433" s="4">
        <v>10</v>
      </c>
      <c r="AG433" s="4">
        <v>10</v>
      </c>
      <c r="AH433" s="4">
        <v>8</v>
      </c>
      <c r="AI433" s="4">
        <v>8</v>
      </c>
      <c r="AJ433" s="4">
        <v>17</v>
      </c>
      <c r="AK433" s="4">
        <v>17</v>
      </c>
      <c r="AL433" s="4">
        <v>3</v>
      </c>
      <c r="AM433" s="4">
        <v>5</v>
      </c>
      <c r="AN433" s="4">
        <v>0</v>
      </c>
      <c r="AO433" s="4">
        <v>0</v>
      </c>
      <c r="AP433" s="3" t="s">
        <v>61</v>
      </c>
      <c r="AQ433" s="3" t="s">
        <v>59</v>
      </c>
      <c r="AR433" s="6" t="str">
        <f>HYPERLINK("http://catalog.hathitrust.org/Record/008231146","HathiTrust Record")</f>
        <v>HathiTrust Record</v>
      </c>
      <c r="AS433" s="6" t="str">
        <f>HYPERLINK("https://creighton-primo.hosted.exlibrisgroup.com/primo-explore/search?tab=default_tab&amp;search_scope=EVERYTHING&amp;vid=01CRU&amp;lang=en_US&amp;offset=0&amp;query=any,contains,991003088319702656","Catalog Record")</f>
        <v>Catalog Record</v>
      </c>
      <c r="AT433" s="6" t="str">
        <f>HYPERLINK("http://www.worldcat.org/oclc/638427","WorldCat Record")</f>
        <v>WorldCat Record</v>
      </c>
      <c r="AU433" s="3" t="s">
        <v>5214</v>
      </c>
      <c r="AV433" s="3" t="s">
        <v>5215</v>
      </c>
      <c r="AW433" s="3" t="s">
        <v>5216</v>
      </c>
      <c r="AX433" s="3" t="s">
        <v>5216</v>
      </c>
      <c r="AY433" s="3" t="s">
        <v>5217</v>
      </c>
      <c r="AZ433" s="3" t="s">
        <v>75</v>
      </c>
      <c r="BC433" s="3" t="s">
        <v>5218</v>
      </c>
      <c r="BD433" s="3" t="s">
        <v>5219</v>
      </c>
    </row>
    <row r="434" spans="1:56" ht="44.25" customHeight="1" x14ac:dyDescent="0.25">
      <c r="A434" s="7" t="s">
        <v>61</v>
      </c>
      <c r="B434" s="2" t="s">
        <v>5220</v>
      </c>
      <c r="C434" s="2" t="s">
        <v>5221</v>
      </c>
      <c r="D434" s="2" t="s">
        <v>5222</v>
      </c>
      <c r="F434" s="3" t="s">
        <v>61</v>
      </c>
      <c r="G434" s="3" t="s">
        <v>60</v>
      </c>
      <c r="H434" s="3" t="s">
        <v>61</v>
      </c>
      <c r="I434" s="3" t="s">
        <v>61</v>
      </c>
      <c r="J434" s="3" t="s">
        <v>62</v>
      </c>
      <c r="L434" s="2" t="s">
        <v>5223</v>
      </c>
      <c r="M434" s="3" t="s">
        <v>552</v>
      </c>
      <c r="O434" s="3" t="s">
        <v>114</v>
      </c>
      <c r="P434" s="3" t="s">
        <v>192</v>
      </c>
      <c r="Q434" s="2" t="s">
        <v>5224</v>
      </c>
      <c r="R434" s="3" t="s">
        <v>68</v>
      </c>
      <c r="S434" s="4">
        <v>8</v>
      </c>
      <c r="T434" s="4">
        <v>8</v>
      </c>
      <c r="U434" s="5" t="s">
        <v>5225</v>
      </c>
      <c r="V434" s="5" t="s">
        <v>5225</v>
      </c>
      <c r="W434" s="5" t="s">
        <v>4271</v>
      </c>
      <c r="X434" s="5" t="s">
        <v>4271</v>
      </c>
      <c r="Y434" s="4">
        <v>286</v>
      </c>
      <c r="Z434" s="4">
        <v>116</v>
      </c>
      <c r="AA434" s="4">
        <v>118</v>
      </c>
      <c r="AB434" s="4">
        <v>1</v>
      </c>
      <c r="AC434" s="4">
        <v>1</v>
      </c>
      <c r="AD434" s="4">
        <v>7</v>
      </c>
      <c r="AE434" s="4">
        <v>7</v>
      </c>
      <c r="AF434" s="4">
        <v>1</v>
      </c>
      <c r="AG434" s="4">
        <v>1</v>
      </c>
      <c r="AH434" s="4">
        <v>4</v>
      </c>
      <c r="AI434" s="4">
        <v>4</v>
      </c>
      <c r="AJ434" s="4">
        <v>5</v>
      </c>
      <c r="AK434" s="4">
        <v>5</v>
      </c>
      <c r="AL434" s="4">
        <v>0</v>
      </c>
      <c r="AM434" s="4">
        <v>0</v>
      </c>
      <c r="AN434" s="4">
        <v>0</v>
      </c>
      <c r="AO434" s="4">
        <v>0</v>
      </c>
      <c r="AP434" s="3" t="s">
        <v>61</v>
      </c>
      <c r="AQ434" s="3" t="s">
        <v>59</v>
      </c>
      <c r="AR434" s="6" t="str">
        <f>HYPERLINK("http://catalog.hathitrust.org/Record/001947474","HathiTrust Record")</f>
        <v>HathiTrust Record</v>
      </c>
      <c r="AS434" s="6" t="str">
        <f>HYPERLINK("https://creighton-primo.hosted.exlibrisgroup.com/primo-explore/search?tab=default_tab&amp;search_scope=EVERYTHING&amp;vid=01CRU&amp;lang=en_US&amp;offset=0&amp;query=any,contains,991001555389702656","Catalog Record")</f>
        <v>Catalog Record</v>
      </c>
      <c r="AT434" s="6" t="str">
        <f>HYPERLINK("http://www.worldcat.org/oclc/20263091","WorldCat Record")</f>
        <v>WorldCat Record</v>
      </c>
      <c r="AU434" s="3" t="s">
        <v>5226</v>
      </c>
      <c r="AV434" s="3" t="s">
        <v>5227</v>
      </c>
      <c r="AW434" s="3" t="s">
        <v>5228</v>
      </c>
      <c r="AX434" s="3" t="s">
        <v>5228</v>
      </c>
      <c r="AY434" s="3" t="s">
        <v>5229</v>
      </c>
      <c r="AZ434" s="3" t="s">
        <v>75</v>
      </c>
      <c r="BB434" s="3" t="s">
        <v>5230</v>
      </c>
      <c r="BC434" s="3" t="s">
        <v>5231</v>
      </c>
      <c r="BD434" s="3" t="s">
        <v>5232</v>
      </c>
    </row>
    <row r="435" spans="1:56" ht="44.25" customHeight="1" x14ac:dyDescent="0.25">
      <c r="A435" s="7" t="s">
        <v>61</v>
      </c>
      <c r="B435" s="2" t="s">
        <v>5233</v>
      </c>
      <c r="C435" s="2" t="s">
        <v>5234</v>
      </c>
      <c r="D435" s="2" t="s">
        <v>5235</v>
      </c>
      <c r="F435" s="3" t="s">
        <v>61</v>
      </c>
      <c r="G435" s="3" t="s">
        <v>60</v>
      </c>
      <c r="H435" s="3" t="s">
        <v>61</v>
      </c>
      <c r="I435" s="3" t="s">
        <v>61</v>
      </c>
      <c r="J435" s="3" t="s">
        <v>62</v>
      </c>
      <c r="K435" s="2" t="s">
        <v>5236</v>
      </c>
      <c r="L435" s="2" t="s">
        <v>5237</v>
      </c>
      <c r="M435" s="3" t="s">
        <v>5238</v>
      </c>
      <c r="O435" s="3" t="s">
        <v>114</v>
      </c>
      <c r="P435" s="3" t="s">
        <v>67</v>
      </c>
      <c r="R435" s="3" t="s">
        <v>68</v>
      </c>
      <c r="S435" s="4">
        <v>3</v>
      </c>
      <c r="T435" s="4">
        <v>3</v>
      </c>
      <c r="U435" s="5" t="s">
        <v>4640</v>
      </c>
      <c r="V435" s="5" t="s">
        <v>4640</v>
      </c>
      <c r="W435" s="5" t="s">
        <v>5163</v>
      </c>
      <c r="X435" s="5" t="s">
        <v>5163</v>
      </c>
      <c r="Y435" s="4">
        <v>205</v>
      </c>
      <c r="Z435" s="4">
        <v>183</v>
      </c>
      <c r="AA435" s="4">
        <v>227</v>
      </c>
      <c r="AB435" s="4">
        <v>3</v>
      </c>
      <c r="AC435" s="4">
        <v>3</v>
      </c>
      <c r="AD435" s="4">
        <v>9</v>
      </c>
      <c r="AE435" s="4">
        <v>10</v>
      </c>
      <c r="AF435" s="4">
        <v>1</v>
      </c>
      <c r="AG435" s="4">
        <v>1</v>
      </c>
      <c r="AH435" s="4">
        <v>3</v>
      </c>
      <c r="AI435" s="4">
        <v>3</v>
      </c>
      <c r="AJ435" s="4">
        <v>4</v>
      </c>
      <c r="AK435" s="4">
        <v>5</v>
      </c>
      <c r="AL435" s="4">
        <v>2</v>
      </c>
      <c r="AM435" s="4">
        <v>2</v>
      </c>
      <c r="AN435" s="4">
        <v>0</v>
      </c>
      <c r="AO435" s="4">
        <v>0</v>
      </c>
      <c r="AP435" s="3" t="s">
        <v>59</v>
      </c>
      <c r="AQ435" s="3" t="s">
        <v>61</v>
      </c>
      <c r="AR435" s="6" t="str">
        <f>HYPERLINK("http://catalog.hathitrust.org/Record/000398191","HathiTrust Record")</f>
        <v>HathiTrust Record</v>
      </c>
      <c r="AS435" s="6" t="str">
        <f>HYPERLINK("https://creighton-primo.hosted.exlibrisgroup.com/primo-explore/search?tab=default_tab&amp;search_scope=EVERYTHING&amp;vid=01CRU&amp;lang=en_US&amp;offset=0&amp;query=any,contains,991004040379702656","Catalog Record")</f>
        <v>Catalog Record</v>
      </c>
      <c r="AT435" s="6" t="str">
        <f>HYPERLINK("http://www.worldcat.org/oclc/2186333","WorldCat Record")</f>
        <v>WorldCat Record</v>
      </c>
      <c r="AU435" s="3" t="s">
        <v>5239</v>
      </c>
      <c r="AV435" s="3" t="s">
        <v>5240</v>
      </c>
      <c r="AW435" s="3" t="s">
        <v>5241</v>
      </c>
      <c r="AX435" s="3" t="s">
        <v>5241</v>
      </c>
      <c r="AY435" s="3" t="s">
        <v>5242</v>
      </c>
      <c r="AZ435" s="3" t="s">
        <v>75</v>
      </c>
      <c r="BC435" s="3" t="s">
        <v>5243</v>
      </c>
      <c r="BD435" s="3" t="s">
        <v>5244</v>
      </c>
    </row>
    <row r="436" spans="1:56" ht="44.25" customHeight="1" x14ac:dyDescent="0.25">
      <c r="A436" s="7" t="s">
        <v>61</v>
      </c>
      <c r="B436" s="2" t="s">
        <v>5245</v>
      </c>
      <c r="C436" s="2" t="s">
        <v>5246</v>
      </c>
      <c r="D436" s="2" t="s">
        <v>5247</v>
      </c>
      <c r="F436" s="3" t="s">
        <v>61</v>
      </c>
      <c r="G436" s="3" t="s">
        <v>60</v>
      </c>
      <c r="H436" s="3" t="s">
        <v>61</v>
      </c>
      <c r="I436" s="3" t="s">
        <v>61</v>
      </c>
      <c r="J436" s="3" t="s">
        <v>62</v>
      </c>
      <c r="K436" s="2" t="s">
        <v>5248</v>
      </c>
      <c r="L436" s="2" t="s">
        <v>5249</v>
      </c>
      <c r="M436" s="3" t="s">
        <v>5250</v>
      </c>
      <c r="O436" s="3" t="s">
        <v>114</v>
      </c>
      <c r="P436" s="3" t="s">
        <v>192</v>
      </c>
      <c r="R436" s="3" t="s">
        <v>68</v>
      </c>
      <c r="S436" s="4">
        <v>0</v>
      </c>
      <c r="T436" s="4">
        <v>0</v>
      </c>
      <c r="U436" s="5" t="s">
        <v>5251</v>
      </c>
      <c r="V436" s="5" t="s">
        <v>5251</v>
      </c>
      <c r="W436" s="5" t="s">
        <v>4083</v>
      </c>
      <c r="X436" s="5" t="s">
        <v>4083</v>
      </c>
      <c r="Y436" s="4">
        <v>208</v>
      </c>
      <c r="Z436" s="4">
        <v>157</v>
      </c>
      <c r="AA436" s="4">
        <v>368</v>
      </c>
      <c r="AB436" s="4">
        <v>2</v>
      </c>
      <c r="AC436" s="4">
        <v>3</v>
      </c>
      <c r="AD436" s="4">
        <v>5</v>
      </c>
      <c r="AE436" s="4">
        <v>15</v>
      </c>
      <c r="AF436" s="4">
        <v>1</v>
      </c>
      <c r="AG436" s="4">
        <v>4</v>
      </c>
      <c r="AH436" s="4">
        <v>2</v>
      </c>
      <c r="AI436" s="4">
        <v>7</v>
      </c>
      <c r="AJ436" s="4">
        <v>2</v>
      </c>
      <c r="AK436" s="4">
        <v>8</v>
      </c>
      <c r="AL436" s="4">
        <v>1</v>
      </c>
      <c r="AM436" s="4">
        <v>2</v>
      </c>
      <c r="AN436" s="4">
        <v>0</v>
      </c>
      <c r="AO436" s="4">
        <v>0</v>
      </c>
      <c r="AP436" s="3" t="s">
        <v>61</v>
      </c>
      <c r="AQ436" s="3" t="s">
        <v>59</v>
      </c>
      <c r="AR436" s="6" t="str">
        <f>HYPERLINK("http://catalog.hathitrust.org/Record/005875724","HathiTrust Record")</f>
        <v>HathiTrust Record</v>
      </c>
      <c r="AS436" s="6" t="str">
        <f>HYPERLINK("https://creighton-primo.hosted.exlibrisgroup.com/primo-explore/search?tab=default_tab&amp;search_scope=EVERYTHING&amp;vid=01CRU&amp;lang=en_US&amp;offset=0&amp;query=any,contains,991004205759702656","Catalog Record")</f>
        <v>Catalog Record</v>
      </c>
      <c r="AT436" s="6" t="str">
        <f>HYPERLINK("http://www.worldcat.org/oclc/2665187","WorldCat Record")</f>
        <v>WorldCat Record</v>
      </c>
      <c r="AU436" s="3" t="s">
        <v>5252</v>
      </c>
      <c r="AV436" s="3" t="s">
        <v>5253</v>
      </c>
      <c r="AW436" s="3" t="s">
        <v>5254</v>
      </c>
      <c r="AX436" s="3" t="s">
        <v>5254</v>
      </c>
      <c r="AY436" s="3" t="s">
        <v>5255</v>
      </c>
      <c r="AZ436" s="3" t="s">
        <v>75</v>
      </c>
      <c r="BC436" s="3" t="s">
        <v>5256</v>
      </c>
      <c r="BD436" s="3" t="s">
        <v>5257</v>
      </c>
    </row>
    <row r="437" spans="1:56" ht="44.25" customHeight="1" x14ac:dyDescent="0.25">
      <c r="A437" s="7" t="s">
        <v>61</v>
      </c>
      <c r="B437" s="2" t="s">
        <v>5258</v>
      </c>
      <c r="C437" s="2" t="s">
        <v>5259</v>
      </c>
      <c r="D437" s="2" t="s">
        <v>5260</v>
      </c>
      <c r="F437" s="3" t="s">
        <v>61</v>
      </c>
      <c r="G437" s="3" t="s">
        <v>60</v>
      </c>
      <c r="H437" s="3" t="s">
        <v>61</v>
      </c>
      <c r="I437" s="3" t="s">
        <v>61</v>
      </c>
      <c r="J437" s="3" t="s">
        <v>62</v>
      </c>
      <c r="K437" s="2" t="s">
        <v>5261</v>
      </c>
      <c r="L437" s="2" t="s">
        <v>5262</v>
      </c>
      <c r="M437" s="3" t="s">
        <v>3279</v>
      </c>
      <c r="O437" s="3" t="s">
        <v>114</v>
      </c>
      <c r="P437" s="3" t="s">
        <v>235</v>
      </c>
      <c r="Q437" s="2" t="s">
        <v>2583</v>
      </c>
      <c r="R437" s="3" t="s">
        <v>68</v>
      </c>
      <c r="S437" s="4">
        <v>1</v>
      </c>
      <c r="T437" s="4">
        <v>1</v>
      </c>
      <c r="U437" s="5" t="s">
        <v>5263</v>
      </c>
      <c r="V437" s="5" t="s">
        <v>5263</v>
      </c>
      <c r="W437" s="5" t="s">
        <v>4083</v>
      </c>
      <c r="X437" s="5" t="s">
        <v>4083</v>
      </c>
      <c r="Y437" s="4">
        <v>494</v>
      </c>
      <c r="Z437" s="4">
        <v>376</v>
      </c>
      <c r="AA437" s="4">
        <v>382</v>
      </c>
      <c r="AB437" s="4">
        <v>3</v>
      </c>
      <c r="AC437" s="4">
        <v>3</v>
      </c>
      <c r="AD437" s="4">
        <v>16</v>
      </c>
      <c r="AE437" s="4">
        <v>16</v>
      </c>
      <c r="AF437" s="4">
        <v>5</v>
      </c>
      <c r="AG437" s="4">
        <v>5</v>
      </c>
      <c r="AH437" s="4">
        <v>5</v>
      </c>
      <c r="AI437" s="4">
        <v>5</v>
      </c>
      <c r="AJ437" s="4">
        <v>10</v>
      </c>
      <c r="AK437" s="4">
        <v>10</v>
      </c>
      <c r="AL437" s="4">
        <v>2</v>
      </c>
      <c r="AM437" s="4">
        <v>2</v>
      </c>
      <c r="AN437" s="4">
        <v>0</v>
      </c>
      <c r="AO437" s="4">
        <v>0</v>
      </c>
      <c r="AP437" s="3" t="s">
        <v>61</v>
      </c>
      <c r="AQ437" s="3" t="s">
        <v>59</v>
      </c>
      <c r="AR437" s="6" t="str">
        <f>HYPERLINK("http://catalog.hathitrust.org/Record/000400204","HathiTrust Record")</f>
        <v>HathiTrust Record</v>
      </c>
      <c r="AS437" s="6" t="str">
        <f>HYPERLINK("https://creighton-primo.hosted.exlibrisgroup.com/primo-explore/search?tab=default_tab&amp;search_scope=EVERYTHING&amp;vid=01CRU&amp;lang=en_US&amp;offset=0&amp;query=any,contains,991001287349702656","Catalog Record")</f>
        <v>Catalog Record</v>
      </c>
      <c r="AT437" s="6" t="str">
        <f>HYPERLINK("http://www.worldcat.org/oclc/216867","WorldCat Record")</f>
        <v>WorldCat Record</v>
      </c>
      <c r="AU437" s="3" t="s">
        <v>5264</v>
      </c>
      <c r="AV437" s="3" t="s">
        <v>5265</v>
      </c>
      <c r="AW437" s="3" t="s">
        <v>5266</v>
      </c>
      <c r="AX437" s="3" t="s">
        <v>5266</v>
      </c>
      <c r="AY437" s="3" t="s">
        <v>5267</v>
      </c>
      <c r="AZ437" s="3" t="s">
        <v>75</v>
      </c>
      <c r="BB437" s="3" t="s">
        <v>5268</v>
      </c>
      <c r="BC437" s="3" t="s">
        <v>5269</v>
      </c>
      <c r="BD437" s="3" t="s">
        <v>5270</v>
      </c>
    </row>
    <row r="438" spans="1:56" ht="44.25" customHeight="1" x14ac:dyDescent="0.25">
      <c r="A438" s="7" t="s">
        <v>61</v>
      </c>
      <c r="B438" s="2" t="s">
        <v>5271</v>
      </c>
      <c r="C438" s="2" t="s">
        <v>5272</v>
      </c>
      <c r="D438" s="2" t="s">
        <v>5273</v>
      </c>
      <c r="F438" s="3" t="s">
        <v>61</v>
      </c>
      <c r="G438" s="3" t="s">
        <v>60</v>
      </c>
      <c r="H438" s="3" t="s">
        <v>61</v>
      </c>
      <c r="I438" s="3" t="s">
        <v>61</v>
      </c>
      <c r="J438" s="3" t="s">
        <v>62</v>
      </c>
      <c r="K438" s="2" t="s">
        <v>5274</v>
      </c>
      <c r="L438" s="2" t="s">
        <v>5275</v>
      </c>
      <c r="M438" s="3" t="s">
        <v>707</v>
      </c>
      <c r="O438" s="3" t="s">
        <v>114</v>
      </c>
      <c r="P438" s="3" t="s">
        <v>235</v>
      </c>
      <c r="R438" s="3" t="s">
        <v>68</v>
      </c>
      <c r="S438" s="4">
        <v>4</v>
      </c>
      <c r="T438" s="4">
        <v>4</v>
      </c>
      <c r="U438" s="5" t="s">
        <v>5276</v>
      </c>
      <c r="V438" s="5" t="s">
        <v>5276</v>
      </c>
      <c r="W438" s="5" t="s">
        <v>4083</v>
      </c>
      <c r="X438" s="5" t="s">
        <v>4083</v>
      </c>
      <c r="Y438" s="4">
        <v>1526</v>
      </c>
      <c r="Z438" s="4">
        <v>1417</v>
      </c>
      <c r="AA438" s="4">
        <v>1531</v>
      </c>
      <c r="AB438" s="4">
        <v>12</v>
      </c>
      <c r="AC438" s="4">
        <v>13</v>
      </c>
      <c r="AD438" s="4">
        <v>57</v>
      </c>
      <c r="AE438" s="4">
        <v>61</v>
      </c>
      <c r="AF438" s="4">
        <v>27</v>
      </c>
      <c r="AG438" s="4">
        <v>27</v>
      </c>
      <c r="AH438" s="4">
        <v>9</v>
      </c>
      <c r="AI438" s="4">
        <v>10</v>
      </c>
      <c r="AJ438" s="4">
        <v>22</v>
      </c>
      <c r="AK438" s="4">
        <v>24</v>
      </c>
      <c r="AL438" s="4">
        <v>11</v>
      </c>
      <c r="AM438" s="4">
        <v>12</v>
      </c>
      <c r="AN438" s="4">
        <v>1</v>
      </c>
      <c r="AO438" s="4">
        <v>1</v>
      </c>
      <c r="AP438" s="3" t="s">
        <v>61</v>
      </c>
      <c r="AQ438" s="3" t="s">
        <v>59</v>
      </c>
      <c r="AR438" s="6" t="str">
        <f>HYPERLINK("http://catalog.hathitrust.org/Record/000403115","HathiTrust Record")</f>
        <v>HathiTrust Record</v>
      </c>
      <c r="AS438" s="6" t="str">
        <f>HYPERLINK("https://creighton-primo.hosted.exlibrisgroup.com/primo-explore/search?tab=default_tab&amp;search_scope=EVERYTHING&amp;vid=01CRU&amp;lang=en_US&amp;offset=0&amp;query=any,contains,991003821039702656","Catalog Record")</f>
        <v>Catalog Record</v>
      </c>
      <c r="AT438" s="6" t="str">
        <f>HYPERLINK("http://www.worldcat.org/oclc/1558559","WorldCat Record")</f>
        <v>WorldCat Record</v>
      </c>
      <c r="AU438" s="3" t="s">
        <v>5277</v>
      </c>
      <c r="AV438" s="3" t="s">
        <v>5278</v>
      </c>
      <c r="AW438" s="3" t="s">
        <v>5279</v>
      </c>
      <c r="AX438" s="3" t="s">
        <v>5279</v>
      </c>
      <c r="AY438" s="3" t="s">
        <v>5280</v>
      </c>
      <c r="AZ438" s="3" t="s">
        <v>75</v>
      </c>
      <c r="BC438" s="3" t="s">
        <v>5281</v>
      </c>
      <c r="BD438" s="3" t="s">
        <v>5282</v>
      </c>
    </row>
    <row r="439" spans="1:56" ht="44.25" customHeight="1" x14ac:dyDescent="0.25">
      <c r="A439" s="7" t="s">
        <v>61</v>
      </c>
      <c r="B439" s="2" t="s">
        <v>5283</v>
      </c>
      <c r="C439" s="2" t="s">
        <v>5284</v>
      </c>
      <c r="D439" s="2" t="s">
        <v>5285</v>
      </c>
      <c r="F439" s="3" t="s">
        <v>61</v>
      </c>
      <c r="G439" s="3" t="s">
        <v>60</v>
      </c>
      <c r="H439" s="3" t="s">
        <v>61</v>
      </c>
      <c r="I439" s="3" t="s">
        <v>61</v>
      </c>
      <c r="J439" s="3" t="s">
        <v>62</v>
      </c>
      <c r="K439" s="2" t="s">
        <v>5274</v>
      </c>
      <c r="L439" s="2" t="s">
        <v>5286</v>
      </c>
      <c r="M439" s="3" t="s">
        <v>305</v>
      </c>
      <c r="O439" s="3" t="s">
        <v>1715</v>
      </c>
      <c r="P439" s="3" t="s">
        <v>1716</v>
      </c>
      <c r="Q439" s="2" t="s">
        <v>5287</v>
      </c>
      <c r="R439" s="3" t="s">
        <v>68</v>
      </c>
      <c r="S439" s="4">
        <v>1</v>
      </c>
      <c r="T439" s="4">
        <v>1</v>
      </c>
      <c r="U439" s="5" t="s">
        <v>3617</v>
      </c>
      <c r="V439" s="5" t="s">
        <v>3617</v>
      </c>
      <c r="W439" s="5" t="s">
        <v>3618</v>
      </c>
      <c r="X439" s="5" t="s">
        <v>3618</v>
      </c>
      <c r="Y439" s="4">
        <v>99</v>
      </c>
      <c r="Z439" s="4">
        <v>69</v>
      </c>
      <c r="AA439" s="4">
        <v>91</v>
      </c>
      <c r="AB439" s="4">
        <v>2</v>
      </c>
      <c r="AC439" s="4">
        <v>2</v>
      </c>
      <c r="AD439" s="4">
        <v>3</v>
      </c>
      <c r="AE439" s="4">
        <v>5</v>
      </c>
      <c r="AF439" s="4">
        <v>1</v>
      </c>
      <c r="AG439" s="4">
        <v>1</v>
      </c>
      <c r="AH439" s="4">
        <v>1</v>
      </c>
      <c r="AI439" s="4">
        <v>2</v>
      </c>
      <c r="AJ439" s="4">
        <v>2</v>
      </c>
      <c r="AK439" s="4">
        <v>3</v>
      </c>
      <c r="AL439" s="4">
        <v>1</v>
      </c>
      <c r="AM439" s="4">
        <v>1</v>
      </c>
      <c r="AN439" s="4">
        <v>0</v>
      </c>
      <c r="AO439" s="4">
        <v>0</v>
      </c>
      <c r="AP439" s="3" t="s">
        <v>61</v>
      </c>
      <c r="AQ439" s="3" t="s">
        <v>59</v>
      </c>
      <c r="AR439" s="6" t="str">
        <f>HYPERLINK("http://catalog.hathitrust.org/Record/000816113","HathiTrust Record")</f>
        <v>HathiTrust Record</v>
      </c>
      <c r="AS439" s="6" t="str">
        <f>HYPERLINK("https://creighton-primo.hosted.exlibrisgroup.com/primo-explore/search?tab=default_tab&amp;search_scope=EVERYTHING&amp;vid=01CRU&amp;lang=en_US&amp;offset=0&amp;query=any,contains,991003600889702656","Catalog Record")</f>
        <v>Catalog Record</v>
      </c>
      <c r="AT439" s="6" t="str">
        <f>HYPERLINK("http://www.worldcat.org/oclc/5326950","WorldCat Record")</f>
        <v>WorldCat Record</v>
      </c>
      <c r="AU439" s="3" t="s">
        <v>5288</v>
      </c>
      <c r="AV439" s="3" t="s">
        <v>5289</v>
      </c>
      <c r="AW439" s="3" t="s">
        <v>5290</v>
      </c>
      <c r="AX439" s="3" t="s">
        <v>5290</v>
      </c>
      <c r="AY439" s="3" t="s">
        <v>5291</v>
      </c>
      <c r="AZ439" s="3" t="s">
        <v>75</v>
      </c>
      <c r="BC439" s="3" t="s">
        <v>5292</v>
      </c>
      <c r="BD439" s="3" t="s">
        <v>5293</v>
      </c>
    </row>
    <row r="440" spans="1:56" ht="44.25" customHeight="1" x14ac:dyDescent="0.25">
      <c r="A440" s="7" t="s">
        <v>61</v>
      </c>
      <c r="B440" s="2" t="s">
        <v>5294</v>
      </c>
      <c r="C440" s="2" t="s">
        <v>5295</v>
      </c>
      <c r="D440" s="2" t="s">
        <v>5296</v>
      </c>
      <c r="F440" s="3" t="s">
        <v>61</v>
      </c>
      <c r="G440" s="3" t="s">
        <v>60</v>
      </c>
      <c r="H440" s="3" t="s">
        <v>61</v>
      </c>
      <c r="I440" s="3" t="s">
        <v>61</v>
      </c>
      <c r="J440" s="3" t="s">
        <v>62</v>
      </c>
      <c r="K440" s="2" t="s">
        <v>5297</v>
      </c>
      <c r="L440" s="2" t="s">
        <v>5298</v>
      </c>
      <c r="M440" s="3" t="s">
        <v>1465</v>
      </c>
      <c r="N440" s="2" t="s">
        <v>634</v>
      </c>
      <c r="O440" s="3" t="s">
        <v>114</v>
      </c>
      <c r="P440" s="3" t="s">
        <v>235</v>
      </c>
      <c r="R440" s="3" t="s">
        <v>68</v>
      </c>
      <c r="S440" s="4">
        <v>3</v>
      </c>
      <c r="T440" s="4">
        <v>3</v>
      </c>
      <c r="U440" s="5" t="s">
        <v>5299</v>
      </c>
      <c r="V440" s="5" t="s">
        <v>5299</v>
      </c>
      <c r="W440" s="5" t="s">
        <v>5300</v>
      </c>
      <c r="X440" s="5" t="s">
        <v>5300</v>
      </c>
      <c r="Y440" s="4">
        <v>2118</v>
      </c>
      <c r="Z440" s="4">
        <v>1967</v>
      </c>
      <c r="AA440" s="4">
        <v>2318</v>
      </c>
      <c r="AB440" s="4">
        <v>15</v>
      </c>
      <c r="AC440" s="4">
        <v>18</v>
      </c>
      <c r="AD440" s="4">
        <v>43</v>
      </c>
      <c r="AE440" s="4">
        <v>49</v>
      </c>
      <c r="AF440" s="4">
        <v>19</v>
      </c>
      <c r="AG440" s="4">
        <v>23</v>
      </c>
      <c r="AH440" s="4">
        <v>9</v>
      </c>
      <c r="AI440" s="4">
        <v>9</v>
      </c>
      <c r="AJ440" s="4">
        <v>21</v>
      </c>
      <c r="AK440" s="4">
        <v>22</v>
      </c>
      <c r="AL440" s="4">
        <v>6</v>
      </c>
      <c r="AM440" s="4">
        <v>8</v>
      </c>
      <c r="AN440" s="4">
        <v>0</v>
      </c>
      <c r="AO440" s="4">
        <v>0</v>
      </c>
      <c r="AP440" s="3" t="s">
        <v>61</v>
      </c>
      <c r="AQ440" s="3" t="s">
        <v>59</v>
      </c>
      <c r="AR440" s="6" t="str">
        <f>HYPERLINK("http://catalog.hathitrust.org/Record/002516139","HathiTrust Record")</f>
        <v>HathiTrust Record</v>
      </c>
      <c r="AS440" s="6" t="str">
        <f>HYPERLINK("https://creighton-primo.hosted.exlibrisgroup.com/primo-explore/search?tab=default_tab&amp;search_scope=EVERYTHING&amp;vid=01CRU&amp;lang=en_US&amp;offset=0&amp;query=any,contains,991001857119702656","Catalog Record")</f>
        <v>Catalog Record</v>
      </c>
      <c r="AT440" s="6" t="str">
        <f>HYPERLINK("http://www.worldcat.org/oclc/23287851","WorldCat Record")</f>
        <v>WorldCat Record</v>
      </c>
      <c r="AU440" s="3" t="s">
        <v>5301</v>
      </c>
      <c r="AV440" s="3" t="s">
        <v>5302</v>
      </c>
      <c r="AW440" s="3" t="s">
        <v>5303</v>
      </c>
      <c r="AX440" s="3" t="s">
        <v>5303</v>
      </c>
      <c r="AY440" s="3" t="s">
        <v>5304</v>
      </c>
      <c r="AZ440" s="3" t="s">
        <v>75</v>
      </c>
      <c r="BB440" s="3" t="s">
        <v>5305</v>
      </c>
      <c r="BC440" s="3" t="s">
        <v>5306</v>
      </c>
      <c r="BD440" s="3" t="s">
        <v>5307</v>
      </c>
    </row>
    <row r="441" spans="1:56" ht="44.25" customHeight="1" x14ac:dyDescent="0.25">
      <c r="A441" s="7" t="s">
        <v>61</v>
      </c>
      <c r="B441" s="2" t="s">
        <v>5308</v>
      </c>
      <c r="C441" s="2" t="s">
        <v>5309</v>
      </c>
      <c r="D441" s="2" t="s">
        <v>5310</v>
      </c>
      <c r="F441" s="3" t="s">
        <v>61</v>
      </c>
      <c r="G441" s="3" t="s">
        <v>60</v>
      </c>
      <c r="H441" s="3" t="s">
        <v>61</v>
      </c>
      <c r="I441" s="3" t="s">
        <v>61</v>
      </c>
      <c r="J441" s="3" t="s">
        <v>62</v>
      </c>
      <c r="K441" s="2" t="s">
        <v>5311</v>
      </c>
      <c r="L441" s="2" t="s">
        <v>5312</v>
      </c>
      <c r="M441" s="3" t="s">
        <v>755</v>
      </c>
      <c r="O441" s="3" t="s">
        <v>114</v>
      </c>
      <c r="P441" s="3" t="s">
        <v>192</v>
      </c>
      <c r="R441" s="3" t="s">
        <v>68</v>
      </c>
      <c r="S441" s="4">
        <v>2</v>
      </c>
      <c r="T441" s="4">
        <v>2</v>
      </c>
      <c r="U441" s="5" t="s">
        <v>5313</v>
      </c>
      <c r="V441" s="5" t="s">
        <v>5313</v>
      </c>
      <c r="W441" s="5" t="s">
        <v>4208</v>
      </c>
      <c r="X441" s="5" t="s">
        <v>4208</v>
      </c>
      <c r="Y441" s="4">
        <v>614</v>
      </c>
      <c r="Z441" s="4">
        <v>418</v>
      </c>
      <c r="AA441" s="4">
        <v>420</v>
      </c>
      <c r="AB441" s="4">
        <v>7</v>
      </c>
      <c r="AC441" s="4">
        <v>7</v>
      </c>
      <c r="AD441" s="4">
        <v>24</v>
      </c>
      <c r="AE441" s="4">
        <v>24</v>
      </c>
      <c r="AF441" s="4">
        <v>5</v>
      </c>
      <c r="AG441" s="4">
        <v>5</v>
      </c>
      <c r="AH441" s="4">
        <v>6</v>
      </c>
      <c r="AI441" s="4">
        <v>6</v>
      </c>
      <c r="AJ441" s="4">
        <v>12</v>
      </c>
      <c r="AK441" s="4">
        <v>12</v>
      </c>
      <c r="AL441" s="4">
        <v>6</v>
      </c>
      <c r="AM441" s="4">
        <v>6</v>
      </c>
      <c r="AN441" s="4">
        <v>0</v>
      </c>
      <c r="AO441" s="4">
        <v>0</v>
      </c>
      <c r="AP441" s="3" t="s">
        <v>61</v>
      </c>
      <c r="AQ441" s="3" t="s">
        <v>59</v>
      </c>
      <c r="AR441" s="6" t="str">
        <f>HYPERLINK("http://catalog.hathitrust.org/Record/000401825","HathiTrust Record")</f>
        <v>HathiTrust Record</v>
      </c>
      <c r="AS441" s="6" t="str">
        <f>HYPERLINK("https://creighton-primo.hosted.exlibrisgroup.com/primo-explore/search?tab=default_tab&amp;search_scope=EVERYTHING&amp;vid=01CRU&amp;lang=en_US&amp;offset=0&amp;query=any,contains,991001949149702656","Catalog Record")</f>
        <v>Catalog Record</v>
      </c>
      <c r="AT441" s="6" t="str">
        <f>HYPERLINK("http://www.worldcat.org/oclc/251310","WorldCat Record")</f>
        <v>WorldCat Record</v>
      </c>
      <c r="AU441" s="3" t="s">
        <v>5314</v>
      </c>
      <c r="AV441" s="3" t="s">
        <v>5315</v>
      </c>
      <c r="AW441" s="3" t="s">
        <v>5316</v>
      </c>
      <c r="AX441" s="3" t="s">
        <v>5316</v>
      </c>
      <c r="AY441" s="3" t="s">
        <v>5317</v>
      </c>
      <c r="AZ441" s="3" t="s">
        <v>75</v>
      </c>
      <c r="BB441" s="3" t="s">
        <v>5318</v>
      </c>
      <c r="BC441" s="3" t="s">
        <v>5319</v>
      </c>
      <c r="BD441" s="3" t="s">
        <v>5320</v>
      </c>
    </row>
    <row r="442" spans="1:56" ht="44.25" customHeight="1" x14ac:dyDescent="0.25">
      <c r="A442" s="7" t="s">
        <v>61</v>
      </c>
      <c r="B442" s="2" t="s">
        <v>5321</v>
      </c>
      <c r="C442" s="2" t="s">
        <v>5322</v>
      </c>
      <c r="D442" s="2" t="s">
        <v>5323</v>
      </c>
      <c r="E442" s="3" t="s">
        <v>84</v>
      </c>
      <c r="F442" s="3" t="s">
        <v>59</v>
      </c>
      <c r="G442" s="3" t="s">
        <v>60</v>
      </c>
      <c r="H442" s="3" t="s">
        <v>61</v>
      </c>
      <c r="I442" s="3" t="s">
        <v>61</v>
      </c>
      <c r="J442" s="3" t="s">
        <v>62</v>
      </c>
      <c r="K442" s="2" t="s">
        <v>5324</v>
      </c>
      <c r="L442" s="2" t="s">
        <v>5325</v>
      </c>
      <c r="M442" s="3" t="s">
        <v>5326</v>
      </c>
      <c r="O442" s="3" t="s">
        <v>114</v>
      </c>
      <c r="P442" s="3" t="s">
        <v>235</v>
      </c>
      <c r="R442" s="3" t="s">
        <v>68</v>
      </c>
      <c r="S442" s="4">
        <v>4</v>
      </c>
      <c r="T442" s="4">
        <v>5</v>
      </c>
      <c r="U442" s="5" t="s">
        <v>885</v>
      </c>
      <c r="V442" s="5" t="s">
        <v>885</v>
      </c>
      <c r="W442" s="5" t="s">
        <v>5327</v>
      </c>
      <c r="X442" s="5" t="s">
        <v>5327</v>
      </c>
      <c r="Y442" s="4">
        <v>1401</v>
      </c>
      <c r="Z442" s="4">
        <v>1312</v>
      </c>
      <c r="AA442" s="4">
        <v>1327</v>
      </c>
      <c r="AB442" s="4">
        <v>16</v>
      </c>
      <c r="AC442" s="4">
        <v>16</v>
      </c>
      <c r="AD442" s="4">
        <v>59</v>
      </c>
      <c r="AE442" s="4">
        <v>59</v>
      </c>
      <c r="AF442" s="4">
        <v>25</v>
      </c>
      <c r="AG442" s="4">
        <v>25</v>
      </c>
      <c r="AH442" s="4">
        <v>10</v>
      </c>
      <c r="AI442" s="4">
        <v>10</v>
      </c>
      <c r="AJ442" s="4">
        <v>25</v>
      </c>
      <c r="AK442" s="4">
        <v>25</v>
      </c>
      <c r="AL442" s="4">
        <v>12</v>
      </c>
      <c r="AM442" s="4">
        <v>12</v>
      </c>
      <c r="AN442" s="4">
        <v>0</v>
      </c>
      <c r="AO442" s="4">
        <v>0</v>
      </c>
      <c r="AP442" s="3" t="s">
        <v>61</v>
      </c>
      <c r="AQ442" s="3" t="s">
        <v>59</v>
      </c>
      <c r="AR442" s="6" t="str">
        <f>HYPERLINK("http://catalog.hathitrust.org/Record/000815718","HathiTrust Record")</f>
        <v>HathiTrust Record</v>
      </c>
      <c r="AS442" s="6" t="str">
        <f>HYPERLINK("https://creighton-primo.hosted.exlibrisgroup.com/primo-explore/search?tab=default_tab&amp;search_scope=EVERYTHING&amp;vid=01CRU&amp;lang=en_US&amp;offset=0&amp;query=any,contains,991002698819702656","Catalog Record")</f>
        <v>Catalog Record</v>
      </c>
      <c r="AT442" s="6" t="str">
        <f>HYPERLINK("http://www.worldcat.org/oclc/404715","WorldCat Record")</f>
        <v>WorldCat Record</v>
      </c>
      <c r="AU442" s="3" t="s">
        <v>5328</v>
      </c>
      <c r="AV442" s="3" t="s">
        <v>5329</v>
      </c>
      <c r="AW442" s="3" t="s">
        <v>5330</v>
      </c>
      <c r="AX442" s="3" t="s">
        <v>5330</v>
      </c>
      <c r="AY442" s="3" t="s">
        <v>5331</v>
      </c>
      <c r="AZ442" s="3" t="s">
        <v>75</v>
      </c>
      <c r="BC442" s="3" t="s">
        <v>5332</v>
      </c>
      <c r="BD442" s="3" t="s">
        <v>5333</v>
      </c>
    </row>
    <row r="443" spans="1:56" ht="44.25" customHeight="1" x14ac:dyDescent="0.25">
      <c r="A443" s="7" t="s">
        <v>61</v>
      </c>
      <c r="B443" s="2" t="s">
        <v>5321</v>
      </c>
      <c r="C443" s="2" t="s">
        <v>5322</v>
      </c>
      <c r="D443" s="2" t="s">
        <v>5323</v>
      </c>
      <c r="E443" s="3" t="s">
        <v>141</v>
      </c>
      <c r="F443" s="3" t="s">
        <v>59</v>
      </c>
      <c r="G443" s="3" t="s">
        <v>60</v>
      </c>
      <c r="H443" s="3" t="s">
        <v>61</v>
      </c>
      <c r="I443" s="3" t="s">
        <v>61</v>
      </c>
      <c r="J443" s="3" t="s">
        <v>62</v>
      </c>
      <c r="K443" s="2" t="s">
        <v>5324</v>
      </c>
      <c r="L443" s="2" t="s">
        <v>5325</v>
      </c>
      <c r="M443" s="3" t="s">
        <v>5326</v>
      </c>
      <c r="O443" s="3" t="s">
        <v>114</v>
      </c>
      <c r="P443" s="3" t="s">
        <v>235</v>
      </c>
      <c r="R443" s="3" t="s">
        <v>68</v>
      </c>
      <c r="S443" s="4">
        <v>1</v>
      </c>
      <c r="T443" s="4">
        <v>5</v>
      </c>
      <c r="U443" s="5" t="s">
        <v>885</v>
      </c>
      <c r="V443" s="5" t="s">
        <v>885</v>
      </c>
      <c r="W443" s="5" t="s">
        <v>5327</v>
      </c>
      <c r="X443" s="5" t="s">
        <v>5327</v>
      </c>
      <c r="Y443" s="4">
        <v>1401</v>
      </c>
      <c r="Z443" s="4">
        <v>1312</v>
      </c>
      <c r="AA443" s="4">
        <v>1327</v>
      </c>
      <c r="AB443" s="4">
        <v>16</v>
      </c>
      <c r="AC443" s="4">
        <v>16</v>
      </c>
      <c r="AD443" s="4">
        <v>59</v>
      </c>
      <c r="AE443" s="4">
        <v>59</v>
      </c>
      <c r="AF443" s="4">
        <v>25</v>
      </c>
      <c r="AG443" s="4">
        <v>25</v>
      </c>
      <c r="AH443" s="4">
        <v>10</v>
      </c>
      <c r="AI443" s="4">
        <v>10</v>
      </c>
      <c r="AJ443" s="4">
        <v>25</v>
      </c>
      <c r="AK443" s="4">
        <v>25</v>
      </c>
      <c r="AL443" s="4">
        <v>12</v>
      </c>
      <c r="AM443" s="4">
        <v>12</v>
      </c>
      <c r="AN443" s="4">
        <v>0</v>
      </c>
      <c r="AO443" s="4">
        <v>0</v>
      </c>
      <c r="AP443" s="3" t="s">
        <v>61</v>
      </c>
      <c r="AQ443" s="3" t="s">
        <v>59</v>
      </c>
      <c r="AR443" s="6" t="str">
        <f>HYPERLINK("http://catalog.hathitrust.org/Record/000815718","HathiTrust Record")</f>
        <v>HathiTrust Record</v>
      </c>
      <c r="AS443" s="6" t="str">
        <f>HYPERLINK("https://creighton-primo.hosted.exlibrisgroup.com/primo-explore/search?tab=default_tab&amp;search_scope=EVERYTHING&amp;vid=01CRU&amp;lang=en_US&amp;offset=0&amp;query=any,contains,991002698819702656","Catalog Record")</f>
        <v>Catalog Record</v>
      </c>
      <c r="AT443" s="6" t="str">
        <f>HYPERLINK("http://www.worldcat.org/oclc/404715","WorldCat Record")</f>
        <v>WorldCat Record</v>
      </c>
      <c r="AU443" s="3" t="s">
        <v>5328</v>
      </c>
      <c r="AV443" s="3" t="s">
        <v>5329</v>
      </c>
      <c r="AW443" s="3" t="s">
        <v>5330</v>
      </c>
      <c r="AX443" s="3" t="s">
        <v>5330</v>
      </c>
      <c r="AY443" s="3" t="s">
        <v>5331</v>
      </c>
      <c r="AZ443" s="3" t="s">
        <v>75</v>
      </c>
      <c r="BC443" s="3" t="s">
        <v>5334</v>
      </c>
      <c r="BD443" s="3" t="s">
        <v>5335</v>
      </c>
    </row>
    <row r="444" spans="1:56" ht="44.25" customHeight="1" x14ac:dyDescent="0.25">
      <c r="A444" s="7" t="s">
        <v>61</v>
      </c>
      <c r="B444" s="2" t="s">
        <v>5336</v>
      </c>
      <c r="C444" s="2" t="s">
        <v>5337</v>
      </c>
      <c r="D444" s="2" t="s">
        <v>5338</v>
      </c>
      <c r="F444" s="3" t="s">
        <v>61</v>
      </c>
      <c r="G444" s="3" t="s">
        <v>60</v>
      </c>
      <c r="H444" s="3" t="s">
        <v>61</v>
      </c>
      <c r="I444" s="3" t="s">
        <v>61</v>
      </c>
      <c r="J444" s="3" t="s">
        <v>62</v>
      </c>
      <c r="K444" s="2" t="s">
        <v>5339</v>
      </c>
      <c r="L444" s="2" t="s">
        <v>5340</v>
      </c>
      <c r="M444" s="3" t="s">
        <v>1376</v>
      </c>
      <c r="O444" s="3" t="s">
        <v>5341</v>
      </c>
      <c r="P444" s="3" t="s">
        <v>5342</v>
      </c>
      <c r="Q444" s="2" t="s">
        <v>5343</v>
      </c>
      <c r="R444" s="3" t="s">
        <v>68</v>
      </c>
      <c r="S444" s="4">
        <v>1</v>
      </c>
      <c r="T444" s="4">
        <v>1</v>
      </c>
      <c r="U444" s="5" t="s">
        <v>2266</v>
      </c>
      <c r="V444" s="5" t="s">
        <v>2266</v>
      </c>
      <c r="W444" s="5" t="s">
        <v>2266</v>
      </c>
      <c r="X444" s="5" t="s">
        <v>2266</v>
      </c>
      <c r="Y444" s="4">
        <v>153</v>
      </c>
      <c r="Z444" s="4">
        <v>86</v>
      </c>
      <c r="AA444" s="4">
        <v>92</v>
      </c>
      <c r="AB444" s="4">
        <v>1</v>
      </c>
      <c r="AC444" s="4">
        <v>1</v>
      </c>
      <c r="AD444" s="4">
        <v>7</v>
      </c>
      <c r="AE444" s="4">
        <v>7</v>
      </c>
      <c r="AF444" s="4">
        <v>1</v>
      </c>
      <c r="AG444" s="4">
        <v>1</v>
      </c>
      <c r="AH444" s="4">
        <v>3</v>
      </c>
      <c r="AI444" s="4">
        <v>3</v>
      </c>
      <c r="AJ444" s="4">
        <v>6</v>
      </c>
      <c r="AK444" s="4">
        <v>6</v>
      </c>
      <c r="AL444" s="4">
        <v>0</v>
      </c>
      <c r="AM444" s="4">
        <v>0</v>
      </c>
      <c r="AN444" s="4">
        <v>0</v>
      </c>
      <c r="AO444" s="4">
        <v>0</v>
      </c>
      <c r="AP444" s="3" t="s">
        <v>61</v>
      </c>
      <c r="AQ444" s="3" t="s">
        <v>59</v>
      </c>
      <c r="AR444" s="6" t="str">
        <f>HYPERLINK("http://catalog.hathitrust.org/Record/000478953","HathiTrust Record")</f>
        <v>HathiTrust Record</v>
      </c>
      <c r="AS444" s="6" t="str">
        <f>HYPERLINK("https://creighton-primo.hosted.exlibrisgroup.com/primo-explore/search?tab=default_tab&amp;search_scope=EVERYTHING&amp;vid=01CRU&amp;lang=en_US&amp;offset=0&amp;query=any,contains,991004182719702656","Catalog Record")</f>
        <v>Catalog Record</v>
      </c>
      <c r="AT444" s="6" t="str">
        <f>HYPERLINK("http://www.worldcat.org/oclc/2100589","WorldCat Record")</f>
        <v>WorldCat Record</v>
      </c>
      <c r="AU444" s="3" t="s">
        <v>5344</v>
      </c>
      <c r="AV444" s="3" t="s">
        <v>5345</v>
      </c>
      <c r="AW444" s="3" t="s">
        <v>5346</v>
      </c>
      <c r="AX444" s="3" t="s">
        <v>5346</v>
      </c>
      <c r="AY444" s="3" t="s">
        <v>5347</v>
      </c>
      <c r="AZ444" s="3" t="s">
        <v>75</v>
      </c>
      <c r="BC444" s="3" t="s">
        <v>5348</v>
      </c>
      <c r="BD444" s="3" t="s">
        <v>5349</v>
      </c>
    </row>
    <row r="445" spans="1:56" ht="44.25" customHeight="1" x14ac:dyDescent="0.25">
      <c r="A445" s="7" t="s">
        <v>61</v>
      </c>
      <c r="B445" s="2" t="s">
        <v>5350</v>
      </c>
      <c r="C445" s="2" t="s">
        <v>5351</v>
      </c>
      <c r="D445" s="2" t="s">
        <v>5352</v>
      </c>
      <c r="F445" s="3" t="s">
        <v>61</v>
      </c>
      <c r="G445" s="3" t="s">
        <v>60</v>
      </c>
      <c r="H445" s="3" t="s">
        <v>61</v>
      </c>
      <c r="I445" s="3" t="s">
        <v>61</v>
      </c>
      <c r="J445" s="3" t="s">
        <v>62</v>
      </c>
      <c r="K445" s="2" t="s">
        <v>5353</v>
      </c>
      <c r="L445" s="2" t="s">
        <v>5354</v>
      </c>
      <c r="M445" s="3" t="s">
        <v>5050</v>
      </c>
      <c r="O445" s="3" t="s">
        <v>114</v>
      </c>
      <c r="P445" s="3" t="s">
        <v>67</v>
      </c>
      <c r="R445" s="3" t="s">
        <v>68</v>
      </c>
      <c r="S445" s="4">
        <v>1</v>
      </c>
      <c r="T445" s="4">
        <v>1</v>
      </c>
      <c r="U445" s="5" t="s">
        <v>5355</v>
      </c>
      <c r="V445" s="5" t="s">
        <v>5355</v>
      </c>
      <c r="W445" s="5" t="s">
        <v>4083</v>
      </c>
      <c r="X445" s="5" t="s">
        <v>4083</v>
      </c>
      <c r="Y445" s="4">
        <v>563</v>
      </c>
      <c r="Z445" s="4">
        <v>516</v>
      </c>
      <c r="AA445" s="4">
        <v>731</v>
      </c>
      <c r="AB445" s="4">
        <v>5</v>
      </c>
      <c r="AC445" s="4">
        <v>7</v>
      </c>
      <c r="AD445" s="4">
        <v>26</v>
      </c>
      <c r="AE445" s="4">
        <v>35</v>
      </c>
      <c r="AF445" s="4">
        <v>7</v>
      </c>
      <c r="AG445" s="4">
        <v>12</v>
      </c>
      <c r="AH445" s="4">
        <v>6</v>
      </c>
      <c r="AI445" s="4">
        <v>8</v>
      </c>
      <c r="AJ445" s="4">
        <v>16</v>
      </c>
      <c r="AK445" s="4">
        <v>18</v>
      </c>
      <c r="AL445" s="4">
        <v>3</v>
      </c>
      <c r="AM445" s="4">
        <v>5</v>
      </c>
      <c r="AN445" s="4">
        <v>0</v>
      </c>
      <c r="AO445" s="4">
        <v>1</v>
      </c>
      <c r="AP445" s="3" t="s">
        <v>59</v>
      </c>
      <c r="AQ445" s="3" t="s">
        <v>61</v>
      </c>
      <c r="AR445" s="6" t="str">
        <f>HYPERLINK("http://catalog.hathitrust.org/Record/000570946","HathiTrust Record")</f>
        <v>HathiTrust Record</v>
      </c>
      <c r="AS445" s="6" t="str">
        <f>HYPERLINK("https://creighton-primo.hosted.exlibrisgroup.com/primo-explore/search?tab=default_tab&amp;search_scope=EVERYTHING&amp;vid=01CRU&amp;lang=en_US&amp;offset=0&amp;query=any,contains,991003590559702656","Catalog Record")</f>
        <v>Catalog Record</v>
      </c>
      <c r="AT445" s="6" t="str">
        <f>HYPERLINK("http://www.worldcat.org/oclc/1173400","WorldCat Record")</f>
        <v>WorldCat Record</v>
      </c>
      <c r="AU445" s="3" t="s">
        <v>5356</v>
      </c>
      <c r="AV445" s="3" t="s">
        <v>5357</v>
      </c>
      <c r="AW445" s="3" t="s">
        <v>5358</v>
      </c>
      <c r="AX445" s="3" t="s">
        <v>5358</v>
      </c>
      <c r="AY445" s="3" t="s">
        <v>5359</v>
      </c>
      <c r="AZ445" s="3" t="s">
        <v>75</v>
      </c>
      <c r="BC445" s="3" t="s">
        <v>5360</v>
      </c>
      <c r="BD445" s="3" t="s">
        <v>5361</v>
      </c>
    </row>
    <row r="446" spans="1:56" ht="44.25" customHeight="1" x14ac:dyDescent="0.25">
      <c r="A446" s="7" t="s">
        <v>61</v>
      </c>
      <c r="B446" s="2" t="s">
        <v>5362</v>
      </c>
      <c r="C446" s="2" t="s">
        <v>5363</v>
      </c>
      <c r="D446" s="2" t="s">
        <v>5364</v>
      </c>
      <c r="F446" s="3" t="s">
        <v>61</v>
      </c>
      <c r="G446" s="3" t="s">
        <v>60</v>
      </c>
      <c r="H446" s="3" t="s">
        <v>61</v>
      </c>
      <c r="I446" s="3" t="s">
        <v>61</v>
      </c>
      <c r="J446" s="3" t="s">
        <v>62</v>
      </c>
      <c r="K446" s="2" t="s">
        <v>5365</v>
      </c>
      <c r="L446" s="2" t="s">
        <v>5366</v>
      </c>
      <c r="M446" s="3" t="s">
        <v>579</v>
      </c>
      <c r="O446" s="3" t="s">
        <v>114</v>
      </c>
      <c r="P446" s="3" t="s">
        <v>1114</v>
      </c>
      <c r="Q446" s="2" t="s">
        <v>5367</v>
      </c>
      <c r="R446" s="3" t="s">
        <v>68</v>
      </c>
      <c r="S446" s="4">
        <v>4</v>
      </c>
      <c r="T446" s="4">
        <v>4</v>
      </c>
      <c r="U446" s="5" t="s">
        <v>1787</v>
      </c>
      <c r="V446" s="5" t="s">
        <v>1787</v>
      </c>
      <c r="W446" s="5" t="s">
        <v>5368</v>
      </c>
      <c r="X446" s="5" t="s">
        <v>5368</v>
      </c>
      <c r="Y446" s="4">
        <v>432</v>
      </c>
      <c r="Z446" s="4">
        <v>405</v>
      </c>
      <c r="AA446" s="4">
        <v>480</v>
      </c>
      <c r="AB446" s="4">
        <v>7</v>
      </c>
      <c r="AC446" s="4">
        <v>8</v>
      </c>
      <c r="AD446" s="4">
        <v>12</v>
      </c>
      <c r="AE446" s="4">
        <v>13</v>
      </c>
      <c r="AF446" s="4">
        <v>4</v>
      </c>
      <c r="AG446" s="4">
        <v>5</v>
      </c>
      <c r="AH446" s="4">
        <v>2</v>
      </c>
      <c r="AI446" s="4">
        <v>2</v>
      </c>
      <c r="AJ446" s="4">
        <v>7</v>
      </c>
      <c r="AK446" s="4">
        <v>8</v>
      </c>
      <c r="AL446" s="4">
        <v>3</v>
      </c>
      <c r="AM446" s="4">
        <v>3</v>
      </c>
      <c r="AN446" s="4">
        <v>0</v>
      </c>
      <c r="AO446" s="4">
        <v>0</v>
      </c>
      <c r="AP446" s="3" t="s">
        <v>61</v>
      </c>
      <c r="AQ446" s="3" t="s">
        <v>59</v>
      </c>
      <c r="AR446" s="6" t="str">
        <f>HYPERLINK("http://catalog.hathitrust.org/Record/000672037","HathiTrust Record")</f>
        <v>HathiTrust Record</v>
      </c>
      <c r="AS446" s="6" t="str">
        <f>HYPERLINK("https://creighton-primo.hosted.exlibrisgroup.com/primo-explore/search?tab=default_tab&amp;search_scope=EVERYTHING&amp;vid=01CRU&amp;lang=en_US&amp;offset=0&amp;query=any,contains,991000787569702656","Catalog Record")</f>
        <v>Catalog Record</v>
      </c>
      <c r="AT446" s="6" t="str">
        <f>HYPERLINK("http://www.worldcat.org/oclc/13126087","WorldCat Record")</f>
        <v>WorldCat Record</v>
      </c>
      <c r="AU446" s="3" t="s">
        <v>5369</v>
      </c>
      <c r="AV446" s="3" t="s">
        <v>5370</v>
      </c>
      <c r="AW446" s="3" t="s">
        <v>5371</v>
      </c>
      <c r="AX446" s="3" t="s">
        <v>5371</v>
      </c>
      <c r="AY446" s="3" t="s">
        <v>5372</v>
      </c>
      <c r="AZ446" s="3" t="s">
        <v>75</v>
      </c>
      <c r="BB446" s="3" t="s">
        <v>5373</v>
      </c>
      <c r="BC446" s="3" t="s">
        <v>5374</v>
      </c>
      <c r="BD446" s="3" t="s">
        <v>5375</v>
      </c>
    </row>
    <row r="447" spans="1:56" ht="44.25" customHeight="1" x14ac:dyDescent="0.25">
      <c r="A447" s="7" t="s">
        <v>61</v>
      </c>
      <c r="B447" s="2" t="s">
        <v>5376</v>
      </c>
      <c r="C447" s="2" t="s">
        <v>5377</v>
      </c>
      <c r="D447" s="2" t="s">
        <v>5378</v>
      </c>
      <c r="E447" s="3" t="s">
        <v>58</v>
      </c>
      <c r="F447" s="3" t="s">
        <v>59</v>
      </c>
      <c r="G447" s="3" t="s">
        <v>60</v>
      </c>
      <c r="H447" s="3" t="s">
        <v>61</v>
      </c>
      <c r="I447" s="3" t="s">
        <v>61</v>
      </c>
      <c r="J447" s="3" t="s">
        <v>62</v>
      </c>
      <c r="K447" s="2" t="s">
        <v>5379</v>
      </c>
      <c r="L447" s="2" t="s">
        <v>5380</v>
      </c>
      <c r="M447" s="3" t="s">
        <v>966</v>
      </c>
      <c r="O447" s="3" t="s">
        <v>114</v>
      </c>
      <c r="P447" s="3" t="s">
        <v>235</v>
      </c>
      <c r="R447" s="3" t="s">
        <v>68</v>
      </c>
      <c r="S447" s="4">
        <v>0</v>
      </c>
      <c r="T447" s="4">
        <v>2</v>
      </c>
      <c r="V447" s="5" t="s">
        <v>5381</v>
      </c>
      <c r="W447" s="5" t="s">
        <v>5382</v>
      </c>
      <c r="X447" s="5" t="s">
        <v>5382</v>
      </c>
      <c r="Y447" s="4">
        <v>757</v>
      </c>
      <c r="Z447" s="4">
        <v>728</v>
      </c>
      <c r="AA447" s="4">
        <v>744</v>
      </c>
      <c r="AB447" s="4">
        <v>9</v>
      </c>
      <c r="AC447" s="4">
        <v>9</v>
      </c>
      <c r="AD447" s="4">
        <v>37</v>
      </c>
      <c r="AE447" s="4">
        <v>37</v>
      </c>
      <c r="AF447" s="4">
        <v>15</v>
      </c>
      <c r="AG447" s="4">
        <v>15</v>
      </c>
      <c r="AH447" s="4">
        <v>5</v>
      </c>
      <c r="AI447" s="4">
        <v>5</v>
      </c>
      <c r="AJ447" s="4">
        <v>17</v>
      </c>
      <c r="AK447" s="4">
        <v>17</v>
      </c>
      <c r="AL447" s="4">
        <v>6</v>
      </c>
      <c r="AM447" s="4">
        <v>6</v>
      </c>
      <c r="AN447" s="4">
        <v>0</v>
      </c>
      <c r="AO447" s="4">
        <v>0</v>
      </c>
      <c r="AP447" s="3" t="s">
        <v>59</v>
      </c>
      <c r="AQ447" s="3" t="s">
        <v>61</v>
      </c>
      <c r="AR447" s="6" t="str">
        <f t="shared" ref="AR447:AR456" si="9">HYPERLINK("http://catalog.hathitrust.org/Record/000400919","HathiTrust Record")</f>
        <v>HathiTrust Record</v>
      </c>
      <c r="AS447" s="6" t="str">
        <f t="shared" ref="AS447:AS456" si="10">HYPERLINK("https://creighton-primo.hosted.exlibrisgroup.com/primo-explore/search?tab=default_tab&amp;search_scope=EVERYTHING&amp;vid=01CRU&amp;lang=en_US&amp;offset=0&amp;query=any,contains,991002290299702656","Catalog Record")</f>
        <v>Catalog Record</v>
      </c>
      <c r="AT447" s="6" t="str">
        <f t="shared" ref="AT447:AT456" si="11">HYPERLINK("http://www.worldcat.org/oclc/312834","WorldCat Record")</f>
        <v>WorldCat Record</v>
      </c>
      <c r="AU447" s="3" t="s">
        <v>5383</v>
      </c>
      <c r="AV447" s="3" t="s">
        <v>5384</v>
      </c>
      <c r="AW447" s="3" t="s">
        <v>5385</v>
      </c>
      <c r="AX447" s="3" t="s">
        <v>5385</v>
      </c>
      <c r="AY447" s="3" t="s">
        <v>5386</v>
      </c>
      <c r="AZ447" s="3" t="s">
        <v>75</v>
      </c>
      <c r="BC447" s="3" t="s">
        <v>5387</v>
      </c>
      <c r="BD447" s="3" t="s">
        <v>5388</v>
      </c>
    </row>
    <row r="448" spans="1:56" ht="44.25" customHeight="1" x14ac:dyDescent="0.25">
      <c r="A448" s="7" t="s">
        <v>61</v>
      </c>
      <c r="B448" s="2" t="s">
        <v>5376</v>
      </c>
      <c r="C448" s="2" t="s">
        <v>5377</v>
      </c>
      <c r="D448" s="2" t="s">
        <v>5378</v>
      </c>
      <c r="E448" s="3" t="s">
        <v>78</v>
      </c>
      <c r="F448" s="3" t="s">
        <v>59</v>
      </c>
      <c r="G448" s="3" t="s">
        <v>60</v>
      </c>
      <c r="H448" s="3" t="s">
        <v>61</v>
      </c>
      <c r="I448" s="3" t="s">
        <v>61</v>
      </c>
      <c r="J448" s="3" t="s">
        <v>62</v>
      </c>
      <c r="K448" s="2" t="s">
        <v>5379</v>
      </c>
      <c r="L448" s="2" t="s">
        <v>5380</v>
      </c>
      <c r="M448" s="3" t="s">
        <v>966</v>
      </c>
      <c r="O448" s="3" t="s">
        <v>114</v>
      </c>
      <c r="P448" s="3" t="s">
        <v>235</v>
      </c>
      <c r="R448" s="3" t="s">
        <v>68</v>
      </c>
      <c r="S448" s="4">
        <v>0</v>
      </c>
      <c r="T448" s="4">
        <v>2</v>
      </c>
      <c r="V448" s="5" t="s">
        <v>5381</v>
      </c>
      <c r="W448" s="5" t="s">
        <v>5382</v>
      </c>
      <c r="X448" s="5" t="s">
        <v>5382</v>
      </c>
      <c r="Y448" s="4">
        <v>757</v>
      </c>
      <c r="Z448" s="4">
        <v>728</v>
      </c>
      <c r="AA448" s="4">
        <v>744</v>
      </c>
      <c r="AB448" s="4">
        <v>9</v>
      </c>
      <c r="AC448" s="4">
        <v>9</v>
      </c>
      <c r="AD448" s="4">
        <v>37</v>
      </c>
      <c r="AE448" s="4">
        <v>37</v>
      </c>
      <c r="AF448" s="4">
        <v>15</v>
      </c>
      <c r="AG448" s="4">
        <v>15</v>
      </c>
      <c r="AH448" s="4">
        <v>5</v>
      </c>
      <c r="AI448" s="4">
        <v>5</v>
      </c>
      <c r="AJ448" s="4">
        <v>17</v>
      </c>
      <c r="AK448" s="4">
        <v>17</v>
      </c>
      <c r="AL448" s="4">
        <v>6</v>
      </c>
      <c r="AM448" s="4">
        <v>6</v>
      </c>
      <c r="AN448" s="4">
        <v>0</v>
      </c>
      <c r="AO448" s="4">
        <v>0</v>
      </c>
      <c r="AP448" s="3" t="s">
        <v>59</v>
      </c>
      <c r="AQ448" s="3" t="s">
        <v>61</v>
      </c>
      <c r="AR448" s="6" t="str">
        <f t="shared" si="9"/>
        <v>HathiTrust Record</v>
      </c>
      <c r="AS448" s="6" t="str">
        <f t="shared" si="10"/>
        <v>Catalog Record</v>
      </c>
      <c r="AT448" s="6" t="str">
        <f t="shared" si="11"/>
        <v>WorldCat Record</v>
      </c>
      <c r="AU448" s="3" t="s">
        <v>5383</v>
      </c>
      <c r="AV448" s="3" t="s">
        <v>5384</v>
      </c>
      <c r="AW448" s="3" t="s">
        <v>5385</v>
      </c>
      <c r="AX448" s="3" t="s">
        <v>5385</v>
      </c>
      <c r="AY448" s="3" t="s">
        <v>5386</v>
      </c>
      <c r="AZ448" s="3" t="s">
        <v>75</v>
      </c>
      <c r="BC448" s="3" t="s">
        <v>5389</v>
      </c>
      <c r="BD448" s="3" t="s">
        <v>5390</v>
      </c>
    </row>
    <row r="449" spans="1:56" ht="44.25" customHeight="1" x14ac:dyDescent="0.25">
      <c r="A449" s="7" t="s">
        <v>61</v>
      </c>
      <c r="B449" s="2" t="s">
        <v>5376</v>
      </c>
      <c r="C449" s="2" t="s">
        <v>5377</v>
      </c>
      <c r="D449" s="2" t="s">
        <v>5378</v>
      </c>
      <c r="E449" s="3" t="s">
        <v>102</v>
      </c>
      <c r="F449" s="3" t="s">
        <v>59</v>
      </c>
      <c r="G449" s="3" t="s">
        <v>60</v>
      </c>
      <c r="H449" s="3" t="s">
        <v>61</v>
      </c>
      <c r="I449" s="3" t="s">
        <v>61</v>
      </c>
      <c r="J449" s="3" t="s">
        <v>62</v>
      </c>
      <c r="K449" s="2" t="s">
        <v>5379</v>
      </c>
      <c r="L449" s="2" t="s">
        <v>5380</v>
      </c>
      <c r="M449" s="3" t="s">
        <v>966</v>
      </c>
      <c r="O449" s="3" t="s">
        <v>114</v>
      </c>
      <c r="P449" s="3" t="s">
        <v>235</v>
      </c>
      <c r="R449" s="3" t="s">
        <v>68</v>
      </c>
      <c r="S449" s="4">
        <v>0</v>
      </c>
      <c r="T449" s="4">
        <v>2</v>
      </c>
      <c r="V449" s="5" t="s">
        <v>5381</v>
      </c>
      <c r="W449" s="5" t="s">
        <v>5382</v>
      </c>
      <c r="X449" s="5" t="s">
        <v>5382</v>
      </c>
      <c r="Y449" s="4">
        <v>757</v>
      </c>
      <c r="Z449" s="4">
        <v>728</v>
      </c>
      <c r="AA449" s="4">
        <v>744</v>
      </c>
      <c r="AB449" s="4">
        <v>9</v>
      </c>
      <c r="AC449" s="4">
        <v>9</v>
      </c>
      <c r="AD449" s="4">
        <v>37</v>
      </c>
      <c r="AE449" s="4">
        <v>37</v>
      </c>
      <c r="AF449" s="4">
        <v>15</v>
      </c>
      <c r="AG449" s="4">
        <v>15</v>
      </c>
      <c r="AH449" s="4">
        <v>5</v>
      </c>
      <c r="AI449" s="4">
        <v>5</v>
      </c>
      <c r="AJ449" s="4">
        <v>17</v>
      </c>
      <c r="AK449" s="4">
        <v>17</v>
      </c>
      <c r="AL449" s="4">
        <v>6</v>
      </c>
      <c r="AM449" s="4">
        <v>6</v>
      </c>
      <c r="AN449" s="4">
        <v>0</v>
      </c>
      <c r="AO449" s="4">
        <v>0</v>
      </c>
      <c r="AP449" s="3" t="s">
        <v>59</v>
      </c>
      <c r="AQ449" s="3" t="s">
        <v>61</v>
      </c>
      <c r="AR449" s="6" t="str">
        <f t="shared" si="9"/>
        <v>HathiTrust Record</v>
      </c>
      <c r="AS449" s="6" t="str">
        <f t="shared" si="10"/>
        <v>Catalog Record</v>
      </c>
      <c r="AT449" s="6" t="str">
        <f t="shared" si="11"/>
        <v>WorldCat Record</v>
      </c>
      <c r="AU449" s="3" t="s">
        <v>5383</v>
      </c>
      <c r="AV449" s="3" t="s">
        <v>5384</v>
      </c>
      <c r="AW449" s="3" t="s">
        <v>5385</v>
      </c>
      <c r="AX449" s="3" t="s">
        <v>5385</v>
      </c>
      <c r="AY449" s="3" t="s">
        <v>5386</v>
      </c>
      <c r="AZ449" s="3" t="s">
        <v>75</v>
      </c>
      <c r="BC449" s="3" t="s">
        <v>5391</v>
      </c>
      <c r="BD449" s="3" t="s">
        <v>5392</v>
      </c>
    </row>
    <row r="450" spans="1:56" ht="44.25" customHeight="1" x14ac:dyDescent="0.25">
      <c r="A450" s="7" t="s">
        <v>61</v>
      </c>
      <c r="B450" s="2" t="s">
        <v>5376</v>
      </c>
      <c r="C450" s="2" t="s">
        <v>5377</v>
      </c>
      <c r="D450" s="2" t="s">
        <v>5378</v>
      </c>
      <c r="E450" s="3" t="s">
        <v>90</v>
      </c>
      <c r="F450" s="3" t="s">
        <v>59</v>
      </c>
      <c r="G450" s="3" t="s">
        <v>60</v>
      </c>
      <c r="H450" s="3" t="s">
        <v>61</v>
      </c>
      <c r="I450" s="3" t="s">
        <v>61</v>
      </c>
      <c r="J450" s="3" t="s">
        <v>62</v>
      </c>
      <c r="K450" s="2" t="s">
        <v>5379</v>
      </c>
      <c r="L450" s="2" t="s">
        <v>5380</v>
      </c>
      <c r="M450" s="3" t="s">
        <v>966</v>
      </c>
      <c r="O450" s="3" t="s">
        <v>114</v>
      </c>
      <c r="P450" s="3" t="s">
        <v>235</v>
      </c>
      <c r="R450" s="3" t="s">
        <v>68</v>
      </c>
      <c r="S450" s="4">
        <v>0</v>
      </c>
      <c r="T450" s="4">
        <v>2</v>
      </c>
      <c r="V450" s="5" t="s">
        <v>5381</v>
      </c>
      <c r="W450" s="5" t="s">
        <v>5382</v>
      </c>
      <c r="X450" s="5" t="s">
        <v>5382</v>
      </c>
      <c r="Y450" s="4">
        <v>757</v>
      </c>
      <c r="Z450" s="4">
        <v>728</v>
      </c>
      <c r="AA450" s="4">
        <v>744</v>
      </c>
      <c r="AB450" s="4">
        <v>9</v>
      </c>
      <c r="AC450" s="4">
        <v>9</v>
      </c>
      <c r="AD450" s="4">
        <v>37</v>
      </c>
      <c r="AE450" s="4">
        <v>37</v>
      </c>
      <c r="AF450" s="4">
        <v>15</v>
      </c>
      <c r="AG450" s="4">
        <v>15</v>
      </c>
      <c r="AH450" s="4">
        <v>5</v>
      </c>
      <c r="AI450" s="4">
        <v>5</v>
      </c>
      <c r="AJ450" s="4">
        <v>17</v>
      </c>
      <c r="AK450" s="4">
        <v>17</v>
      </c>
      <c r="AL450" s="4">
        <v>6</v>
      </c>
      <c r="AM450" s="4">
        <v>6</v>
      </c>
      <c r="AN450" s="4">
        <v>0</v>
      </c>
      <c r="AO450" s="4">
        <v>0</v>
      </c>
      <c r="AP450" s="3" t="s">
        <v>59</v>
      </c>
      <c r="AQ450" s="3" t="s">
        <v>61</v>
      </c>
      <c r="AR450" s="6" t="str">
        <f t="shared" si="9"/>
        <v>HathiTrust Record</v>
      </c>
      <c r="AS450" s="6" t="str">
        <f t="shared" si="10"/>
        <v>Catalog Record</v>
      </c>
      <c r="AT450" s="6" t="str">
        <f t="shared" si="11"/>
        <v>WorldCat Record</v>
      </c>
      <c r="AU450" s="3" t="s">
        <v>5383</v>
      </c>
      <c r="AV450" s="3" t="s">
        <v>5384</v>
      </c>
      <c r="AW450" s="3" t="s">
        <v>5385</v>
      </c>
      <c r="AX450" s="3" t="s">
        <v>5385</v>
      </c>
      <c r="AY450" s="3" t="s">
        <v>5386</v>
      </c>
      <c r="AZ450" s="3" t="s">
        <v>75</v>
      </c>
      <c r="BC450" s="3" t="s">
        <v>5393</v>
      </c>
      <c r="BD450" s="3" t="s">
        <v>5394</v>
      </c>
    </row>
    <row r="451" spans="1:56" ht="44.25" customHeight="1" x14ac:dyDescent="0.25">
      <c r="A451" s="7" t="s">
        <v>61</v>
      </c>
      <c r="B451" s="2" t="s">
        <v>5376</v>
      </c>
      <c r="C451" s="2" t="s">
        <v>5377</v>
      </c>
      <c r="D451" s="2" t="s">
        <v>5378</v>
      </c>
      <c r="E451" s="3" t="s">
        <v>84</v>
      </c>
      <c r="F451" s="3" t="s">
        <v>59</v>
      </c>
      <c r="G451" s="3" t="s">
        <v>60</v>
      </c>
      <c r="H451" s="3" t="s">
        <v>61</v>
      </c>
      <c r="I451" s="3" t="s">
        <v>61</v>
      </c>
      <c r="J451" s="3" t="s">
        <v>62</v>
      </c>
      <c r="K451" s="2" t="s">
        <v>5379</v>
      </c>
      <c r="L451" s="2" t="s">
        <v>5380</v>
      </c>
      <c r="M451" s="3" t="s">
        <v>966</v>
      </c>
      <c r="O451" s="3" t="s">
        <v>114</v>
      </c>
      <c r="P451" s="3" t="s">
        <v>235</v>
      </c>
      <c r="R451" s="3" t="s">
        <v>68</v>
      </c>
      <c r="S451" s="4">
        <v>1</v>
      </c>
      <c r="T451" s="4">
        <v>2</v>
      </c>
      <c r="U451" s="5" t="s">
        <v>5381</v>
      </c>
      <c r="V451" s="5" t="s">
        <v>5381</v>
      </c>
      <c r="W451" s="5" t="s">
        <v>5382</v>
      </c>
      <c r="X451" s="5" t="s">
        <v>5382</v>
      </c>
      <c r="Y451" s="4">
        <v>757</v>
      </c>
      <c r="Z451" s="4">
        <v>728</v>
      </c>
      <c r="AA451" s="4">
        <v>744</v>
      </c>
      <c r="AB451" s="4">
        <v>9</v>
      </c>
      <c r="AC451" s="4">
        <v>9</v>
      </c>
      <c r="AD451" s="4">
        <v>37</v>
      </c>
      <c r="AE451" s="4">
        <v>37</v>
      </c>
      <c r="AF451" s="4">
        <v>15</v>
      </c>
      <c r="AG451" s="4">
        <v>15</v>
      </c>
      <c r="AH451" s="4">
        <v>5</v>
      </c>
      <c r="AI451" s="4">
        <v>5</v>
      </c>
      <c r="AJ451" s="4">
        <v>17</v>
      </c>
      <c r="AK451" s="4">
        <v>17</v>
      </c>
      <c r="AL451" s="4">
        <v>6</v>
      </c>
      <c r="AM451" s="4">
        <v>6</v>
      </c>
      <c r="AN451" s="4">
        <v>0</v>
      </c>
      <c r="AO451" s="4">
        <v>0</v>
      </c>
      <c r="AP451" s="3" t="s">
        <v>59</v>
      </c>
      <c r="AQ451" s="3" t="s">
        <v>61</v>
      </c>
      <c r="AR451" s="6" t="str">
        <f t="shared" si="9"/>
        <v>HathiTrust Record</v>
      </c>
      <c r="AS451" s="6" t="str">
        <f t="shared" si="10"/>
        <v>Catalog Record</v>
      </c>
      <c r="AT451" s="6" t="str">
        <f t="shared" si="11"/>
        <v>WorldCat Record</v>
      </c>
      <c r="AU451" s="3" t="s">
        <v>5383</v>
      </c>
      <c r="AV451" s="3" t="s">
        <v>5384</v>
      </c>
      <c r="AW451" s="3" t="s">
        <v>5385</v>
      </c>
      <c r="AX451" s="3" t="s">
        <v>5385</v>
      </c>
      <c r="AY451" s="3" t="s">
        <v>5386</v>
      </c>
      <c r="AZ451" s="3" t="s">
        <v>75</v>
      </c>
      <c r="BC451" s="3" t="s">
        <v>5395</v>
      </c>
      <c r="BD451" s="3" t="s">
        <v>5396</v>
      </c>
    </row>
    <row r="452" spans="1:56" ht="44.25" customHeight="1" x14ac:dyDescent="0.25">
      <c r="A452" s="7" t="s">
        <v>61</v>
      </c>
      <c r="B452" s="2" t="s">
        <v>5376</v>
      </c>
      <c r="C452" s="2" t="s">
        <v>5377</v>
      </c>
      <c r="D452" s="2" t="s">
        <v>5378</v>
      </c>
      <c r="E452" s="3" t="s">
        <v>93</v>
      </c>
      <c r="F452" s="3" t="s">
        <v>59</v>
      </c>
      <c r="G452" s="3" t="s">
        <v>60</v>
      </c>
      <c r="H452" s="3" t="s">
        <v>61</v>
      </c>
      <c r="I452" s="3" t="s">
        <v>61</v>
      </c>
      <c r="J452" s="3" t="s">
        <v>62</v>
      </c>
      <c r="K452" s="2" t="s">
        <v>5379</v>
      </c>
      <c r="L452" s="2" t="s">
        <v>5380</v>
      </c>
      <c r="M452" s="3" t="s">
        <v>966</v>
      </c>
      <c r="O452" s="3" t="s">
        <v>114</v>
      </c>
      <c r="P452" s="3" t="s">
        <v>235</v>
      </c>
      <c r="R452" s="3" t="s">
        <v>68</v>
      </c>
      <c r="S452" s="4">
        <v>1</v>
      </c>
      <c r="T452" s="4">
        <v>2</v>
      </c>
      <c r="U452" s="5" t="s">
        <v>5397</v>
      </c>
      <c r="V452" s="5" t="s">
        <v>5381</v>
      </c>
      <c r="W452" s="5" t="s">
        <v>5382</v>
      </c>
      <c r="X452" s="5" t="s">
        <v>5382</v>
      </c>
      <c r="Y452" s="4">
        <v>757</v>
      </c>
      <c r="Z452" s="4">
        <v>728</v>
      </c>
      <c r="AA452" s="4">
        <v>744</v>
      </c>
      <c r="AB452" s="4">
        <v>9</v>
      </c>
      <c r="AC452" s="4">
        <v>9</v>
      </c>
      <c r="AD452" s="4">
        <v>37</v>
      </c>
      <c r="AE452" s="4">
        <v>37</v>
      </c>
      <c r="AF452" s="4">
        <v>15</v>
      </c>
      <c r="AG452" s="4">
        <v>15</v>
      </c>
      <c r="AH452" s="4">
        <v>5</v>
      </c>
      <c r="AI452" s="4">
        <v>5</v>
      </c>
      <c r="AJ452" s="4">
        <v>17</v>
      </c>
      <c r="AK452" s="4">
        <v>17</v>
      </c>
      <c r="AL452" s="4">
        <v>6</v>
      </c>
      <c r="AM452" s="4">
        <v>6</v>
      </c>
      <c r="AN452" s="4">
        <v>0</v>
      </c>
      <c r="AO452" s="4">
        <v>0</v>
      </c>
      <c r="AP452" s="3" t="s">
        <v>59</v>
      </c>
      <c r="AQ452" s="3" t="s">
        <v>61</v>
      </c>
      <c r="AR452" s="6" t="str">
        <f t="shared" si="9"/>
        <v>HathiTrust Record</v>
      </c>
      <c r="AS452" s="6" t="str">
        <f t="shared" si="10"/>
        <v>Catalog Record</v>
      </c>
      <c r="AT452" s="6" t="str">
        <f t="shared" si="11"/>
        <v>WorldCat Record</v>
      </c>
      <c r="AU452" s="3" t="s">
        <v>5383</v>
      </c>
      <c r="AV452" s="3" t="s">
        <v>5384</v>
      </c>
      <c r="AW452" s="3" t="s">
        <v>5385</v>
      </c>
      <c r="AX452" s="3" t="s">
        <v>5385</v>
      </c>
      <c r="AY452" s="3" t="s">
        <v>5386</v>
      </c>
      <c r="AZ452" s="3" t="s">
        <v>75</v>
      </c>
      <c r="BC452" s="3" t="s">
        <v>5398</v>
      </c>
      <c r="BD452" s="3" t="s">
        <v>5399</v>
      </c>
    </row>
    <row r="453" spans="1:56" ht="44.25" customHeight="1" x14ac:dyDescent="0.25">
      <c r="A453" s="7" t="s">
        <v>61</v>
      </c>
      <c r="B453" s="2" t="s">
        <v>5376</v>
      </c>
      <c r="C453" s="2" t="s">
        <v>5377</v>
      </c>
      <c r="D453" s="2" t="s">
        <v>5378</v>
      </c>
      <c r="E453" s="3" t="s">
        <v>81</v>
      </c>
      <c r="F453" s="3" t="s">
        <v>59</v>
      </c>
      <c r="G453" s="3" t="s">
        <v>60</v>
      </c>
      <c r="H453" s="3" t="s">
        <v>61</v>
      </c>
      <c r="I453" s="3" t="s">
        <v>61</v>
      </c>
      <c r="J453" s="3" t="s">
        <v>62</v>
      </c>
      <c r="K453" s="2" t="s">
        <v>5379</v>
      </c>
      <c r="L453" s="2" t="s">
        <v>5380</v>
      </c>
      <c r="M453" s="3" t="s">
        <v>966</v>
      </c>
      <c r="O453" s="3" t="s">
        <v>114</v>
      </c>
      <c r="P453" s="3" t="s">
        <v>235</v>
      </c>
      <c r="R453" s="3" t="s">
        <v>68</v>
      </c>
      <c r="S453" s="4">
        <v>0</v>
      </c>
      <c r="T453" s="4">
        <v>2</v>
      </c>
      <c r="V453" s="5" t="s">
        <v>5381</v>
      </c>
      <c r="W453" s="5" t="s">
        <v>5382</v>
      </c>
      <c r="X453" s="5" t="s">
        <v>5382</v>
      </c>
      <c r="Y453" s="4">
        <v>757</v>
      </c>
      <c r="Z453" s="4">
        <v>728</v>
      </c>
      <c r="AA453" s="4">
        <v>744</v>
      </c>
      <c r="AB453" s="4">
        <v>9</v>
      </c>
      <c r="AC453" s="4">
        <v>9</v>
      </c>
      <c r="AD453" s="4">
        <v>37</v>
      </c>
      <c r="AE453" s="4">
        <v>37</v>
      </c>
      <c r="AF453" s="4">
        <v>15</v>
      </c>
      <c r="AG453" s="4">
        <v>15</v>
      </c>
      <c r="AH453" s="4">
        <v>5</v>
      </c>
      <c r="AI453" s="4">
        <v>5</v>
      </c>
      <c r="AJ453" s="4">
        <v>17</v>
      </c>
      <c r="AK453" s="4">
        <v>17</v>
      </c>
      <c r="AL453" s="4">
        <v>6</v>
      </c>
      <c r="AM453" s="4">
        <v>6</v>
      </c>
      <c r="AN453" s="4">
        <v>0</v>
      </c>
      <c r="AO453" s="4">
        <v>0</v>
      </c>
      <c r="AP453" s="3" t="s">
        <v>59</v>
      </c>
      <c r="AQ453" s="3" t="s">
        <v>61</v>
      </c>
      <c r="AR453" s="6" t="str">
        <f t="shared" si="9"/>
        <v>HathiTrust Record</v>
      </c>
      <c r="AS453" s="6" t="str">
        <f t="shared" si="10"/>
        <v>Catalog Record</v>
      </c>
      <c r="AT453" s="6" t="str">
        <f t="shared" si="11"/>
        <v>WorldCat Record</v>
      </c>
      <c r="AU453" s="3" t="s">
        <v>5383</v>
      </c>
      <c r="AV453" s="3" t="s">
        <v>5384</v>
      </c>
      <c r="AW453" s="3" t="s">
        <v>5385</v>
      </c>
      <c r="AX453" s="3" t="s">
        <v>5385</v>
      </c>
      <c r="AY453" s="3" t="s">
        <v>5386</v>
      </c>
      <c r="AZ453" s="3" t="s">
        <v>75</v>
      </c>
      <c r="BC453" s="3" t="s">
        <v>5400</v>
      </c>
      <c r="BD453" s="3" t="s">
        <v>5401</v>
      </c>
    </row>
    <row r="454" spans="1:56" ht="44.25" customHeight="1" x14ac:dyDescent="0.25">
      <c r="A454" s="7" t="s">
        <v>61</v>
      </c>
      <c r="B454" s="2" t="s">
        <v>5376</v>
      </c>
      <c r="C454" s="2" t="s">
        <v>5377</v>
      </c>
      <c r="D454" s="2" t="s">
        <v>5378</v>
      </c>
      <c r="E454" s="3" t="s">
        <v>99</v>
      </c>
      <c r="F454" s="3" t="s">
        <v>59</v>
      </c>
      <c r="G454" s="3" t="s">
        <v>60</v>
      </c>
      <c r="H454" s="3" t="s">
        <v>61</v>
      </c>
      <c r="I454" s="3" t="s">
        <v>61</v>
      </c>
      <c r="J454" s="3" t="s">
        <v>62</v>
      </c>
      <c r="K454" s="2" t="s">
        <v>5379</v>
      </c>
      <c r="L454" s="2" t="s">
        <v>5380</v>
      </c>
      <c r="M454" s="3" t="s">
        <v>966</v>
      </c>
      <c r="O454" s="3" t="s">
        <v>114</v>
      </c>
      <c r="P454" s="3" t="s">
        <v>235</v>
      </c>
      <c r="R454" s="3" t="s">
        <v>68</v>
      </c>
      <c r="S454" s="4">
        <v>0</v>
      </c>
      <c r="T454" s="4">
        <v>2</v>
      </c>
      <c r="V454" s="5" t="s">
        <v>5381</v>
      </c>
      <c r="W454" s="5" t="s">
        <v>5382</v>
      </c>
      <c r="X454" s="5" t="s">
        <v>5382</v>
      </c>
      <c r="Y454" s="4">
        <v>757</v>
      </c>
      <c r="Z454" s="4">
        <v>728</v>
      </c>
      <c r="AA454" s="4">
        <v>744</v>
      </c>
      <c r="AB454" s="4">
        <v>9</v>
      </c>
      <c r="AC454" s="4">
        <v>9</v>
      </c>
      <c r="AD454" s="4">
        <v>37</v>
      </c>
      <c r="AE454" s="4">
        <v>37</v>
      </c>
      <c r="AF454" s="4">
        <v>15</v>
      </c>
      <c r="AG454" s="4">
        <v>15</v>
      </c>
      <c r="AH454" s="4">
        <v>5</v>
      </c>
      <c r="AI454" s="4">
        <v>5</v>
      </c>
      <c r="AJ454" s="4">
        <v>17</v>
      </c>
      <c r="AK454" s="4">
        <v>17</v>
      </c>
      <c r="AL454" s="4">
        <v>6</v>
      </c>
      <c r="AM454" s="4">
        <v>6</v>
      </c>
      <c r="AN454" s="4">
        <v>0</v>
      </c>
      <c r="AO454" s="4">
        <v>0</v>
      </c>
      <c r="AP454" s="3" t="s">
        <v>59</v>
      </c>
      <c r="AQ454" s="3" t="s">
        <v>61</v>
      </c>
      <c r="AR454" s="6" t="str">
        <f t="shared" si="9"/>
        <v>HathiTrust Record</v>
      </c>
      <c r="AS454" s="6" t="str">
        <f t="shared" si="10"/>
        <v>Catalog Record</v>
      </c>
      <c r="AT454" s="6" t="str">
        <f t="shared" si="11"/>
        <v>WorldCat Record</v>
      </c>
      <c r="AU454" s="3" t="s">
        <v>5383</v>
      </c>
      <c r="AV454" s="3" t="s">
        <v>5384</v>
      </c>
      <c r="AW454" s="3" t="s">
        <v>5385</v>
      </c>
      <c r="AX454" s="3" t="s">
        <v>5385</v>
      </c>
      <c r="AY454" s="3" t="s">
        <v>5386</v>
      </c>
      <c r="AZ454" s="3" t="s">
        <v>75</v>
      </c>
      <c r="BC454" s="3" t="s">
        <v>5402</v>
      </c>
      <c r="BD454" s="3" t="s">
        <v>5403</v>
      </c>
    </row>
    <row r="455" spans="1:56" ht="44.25" customHeight="1" x14ac:dyDescent="0.25">
      <c r="A455" s="7" t="s">
        <v>61</v>
      </c>
      <c r="B455" s="2" t="s">
        <v>5376</v>
      </c>
      <c r="C455" s="2" t="s">
        <v>5377</v>
      </c>
      <c r="D455" s="2" t="s">
        <v>5378</v>
      </c>
      <c r="E455" s="3" t="s">
        <v>141</v>
      </c>
      <c r="F455" s="3" t="s">
        <v>59</v>
      </c>
      <c r="G455" s="3" t="s">
        <v>60</v>
      </c>
      <c r="H455" s="3" t="s">
        <v>61</v>
      </c>
      <c r="I455" s="3" t="s">
        <v>61</v>
      </c>
      <c r="J455" s="3" t="s">
        <v>62</v>
      </c>
      <c r="K455" s="2" t="s">
        <v>5379</v>
      </c>
      <c r="L455" s="2" t="s">
        <v>5380</v>
      </c>
      <c r="M455" s="3" t="s">
        <v>966</v>
      </c>
      <c r="O455" s="3" t="s">
        <v>114</v>
      </c>
      <c r="P455" s="3" t="s">
        <v>235</v>
      </c>
      <c r="R455" s="3" t="s">
        <v>68</v>
      </c>
      <c r="S455" s="4">
        <v>0</v>
      </c>
      <c r="T455" s="4">
        <v>2</v>
      </c>
      <c r="V455" s="5" t="s">
        <v>5381</v>
      </c>
      <c r="W455" s="5" t="s">
        <v>5382</v>
      </c>
      <c r="X455" s="5" t="s">
        <v>5382</v>
      </c>
      <c r="Y455" s="4">
        <v>757</v>
      </c>
      <c r="Z455" s="4">
        <v>728</v>
      </c>
      <c r="AA455" s="4">
        <v>744</v>
      </c>
      <c r="AB455" s="4">
        <v>9</v>
      </c>
      <c r="AC455" s="4">
        <v>9</v>
      </c>
      <c r="AD455" s="4">
        <v>37</v>
      </c>
      <c r="AE455" s="4">
        <v>37</v>
      </c>
      <c r="AF455" s="4">
        <v>15</v>
      </c>
      <c r="AG455" s="4">
        <v>15</v>
      </c>
      <c r="AH455" s="4">
        <v>5</v>
      </c>
      <c r="AI455" s="4">
        <v>5</v>
      </c>
      <c r="AJ455" s="4">
        <v>17</v>
      </c>
      <c r="AK455" s="4">
        <v>17</v>
      </c>
      <c r="AL455" s="4">
        <v>6</v>
      </c>
      <c r="AM455" s="4">
        <v>6</v>
      </c>
      <c r="AN455" s="4">
        <v>0</v>
      </c>
      <c r="AO455" s="4">
        <v>0</v>
      </c>
      <c r="AP455" s="3" t="s">
        <v>59</v>
      </c>
      <c r="AQ455" s="3" t="s">
        <v>61</v>
      </c>
      <c r="AR455" s="6" t="str">
        <f t="shared" si="9"/>
        <v>HathiTrust Record</v>
      </c>
      <c r="AS455" s="6" t="str">
        <f t="shared" si="10"/>
        <v>Catalog Record</v>
      </c>
      <c r="AT455" s="6" t="str">
        <f t="shared" si="11"/>
        <v>WorldCat Record</v>
      </c>
      <c r="AU455" s="3" t="s">
        <v>5383</v>
      </c>
      <c r="AV455" s="3" t="s">
        <v>5384</v>
      </c>
      <c r="AW455" s="3" t="s">
        <v>5385</v>
      </c>
      <c r="AX455" s="3" t="s">
        <v>5385</v>
      </c>
      <c r="AY455" s="3" t="s">
        <v>5386</v>
      </c>
      <c r="AZ455" s="3" t="s">
        <v>75</v>
      </c>
      <c r="BC455" s="3" t="s">
        <v>5404</v>
      </c>
      <c r="BD455" s="3" t="s">
        <v>5405</v>
      </c>
    </row>
    <row r="456" spans="1:56" ht="44.25" customHeight="1" x14ac:dyDescent="0.25">
      <c r="A456" s="7" t="s">
        <v>61</v>
      </c>
      <c r="B456" s="2" t="s">
        <v>5376</v>
      </c>
      <c r="C456" s="2" t="s">
        <v>5377</v>
      </c>
      <c r="D456" s="2" t="s">
        <v>5378</v>
      </c>
      <c r="E456" s="3" t="s">
        <v>87</v>
      </c>
      <c r="F456" s="3" t="s">
        <v>59</v>
      </c>
      <c r="G456" s="3" t="s">
        <v>60</v>
      </c>
      <c r="H456" s="3" t="s">
        <v>61</v>
      </c>
      <c r="I456" s="3" t="s">
        <v>61</v>
      </c>
      <c r="J456" s="3" t="s">
        <v>62</v>
      </c>
      <c r="K456" s="2" t="s">
        <v>5379</v>
      </c>
      <c r="L456" s="2" t="s">
        <v>5380</v>
      </c>
      <c r="M456" s="3" t="s">
        <v>966</v>
      </c>
      <c r="O456" s="3" t="s">
        <v>114</v>
      </c>
      <c r="P456" s="3" t="s">
        <v>235</v>
      </c>
      <c r="R456" s="3" t="s">
        <v>68</v>
      </c>
      <c r="S456" s="4">
        <v>0</v>
      </c>
      <c r="T456" s="4">
        <v>2</v>
      </c>
      <c r="V456" s="5" t="s">
        <v>5381</v>
      </c>
      <c r="W456" s="5" t="s">
        <v>5382</v>
      </c>
      <c r="X456" s="5" t="s">
        <v>5382</v>
      </c>
      <c r="Y456" s="4">
        <v>757</v>
      </c>
      <c r="Z456" s="4">
        <v>728</v>
      </c>
      <c r="AA456" s="4">
        <v>744</v>
      </c>
      <c r="AB456" s="4">
        <v>9</v>
      </c>
      <c r="AC456" s="4">
        <v>9</v>
      </c>
      <c r="AD456" s="4">
        <v>37</v>
      </c>
      <c r="AE456" s="4">
        <v>37</v>
      </c>
      <c r="AF456" s="4">
        <v>15</v>
      </c>
      <c r="AG456" s="4">
        <v>15</v>
      </c>
      <c r="AH456" s="4">
        <v>5</v>
      </c>
      <c r="AI456" s="4">
        <v>5</v>
      </c>
      <c r="AJ456" s="4">
        <v>17</v>
      </c>
      <c r="AK456" s="4">
        <v>17</v>
      </c>
      <c r="AL456" s="4">
        <v>6</v>
      </c>
      <c r="AM456" s="4">
        <v>6</v>
      </c>
      <c r="AN456" s="4">
        <v>0</v>
      </c>
      <c r="AO456" s="4">
        <v>0</v>
      </c>
      <c r="AP456" s="3" t="s">
        <v>59</v>
      </c>
      <c r="AQ456" s="3" t="s">
        <v>61</v>
      </c>
      <c r="AR456" s="6" t="str">
        <f t="shared" si="9"/>
        <v>HathiTrust Record</v>
      </c>
      <c r="AS456" s="6" t="str">
        <f t="shared" si="10"/>
        <v>Catalog Record</v>
      </c>
      <c r="AT456" s="6" t="str">
        <f t="shared" si="11"/>
        <v>WorldCat Record</v>
      </c>
      <c r="AU456" s="3" t="s">
        <v>5383</v>
      </c>
      <c r="AV456" s="3" t="s">
        <v>5384</v>
      </c>
      <c r="AW456" s="3" t="s">
        <v>5385</v>
      </c>
      <c r="AX456" s="3" t="s">
        <v>5385</v>
      </c>
      <c r="AY456" s="3" t="s">
        <v>5386</v>
      </c>
      <c r="AZ456" s="3" t="s">
        <v>75</v>
      </c>
      <c r="BC456" s="3" t="s">
        <v>5406</v>
      </c>
      <c r="BD456" s="3" t="s">
        <v>5407</v>
      </c>
    </row>
    <row r="457" spans="1:56" ht="44.25" customHeight="1" x14ac:dyDescent="0.25">
      <c r="A457" s="7" t="s">
        <v>61</v>
      </c>
      <c r="B457" s="2" t="s">
        <v>5408</v>
      </c>
      <c r="C457" s="2" t="s">
        <v>5409</v>
      </c>
      <c r="D457" s="2" t="s">
        <v>5410</v>
      </c>
      <c r="F457" s="3" t="s">
        <v>61</v>
      </c>
      <c r="G457" s="3" t="s">
        <v>60</v>
      </c>
      <c r="H457" s="3" t="s">
        <v>61</v>
      </c>
      <c r="I457" s="3" t="s">
        <v>61</v>
      </c>
      <c r="J457" s="3" t="s">
        <v>62</v>
      </c>
      <c r="L457" s="2" t="s">
        <v>5411</v>
      </c>
      <c r="M457" s="3" t="s">
        <v>1507</v>
      </c>
      <c r="O457" s="3" t="s">
        <v>114</v>
      </c>
      <c r="P457" s="3" t="s">
        <v>192</v>
      </c>
      <c r="R457" s="3" t="s">
        <v>68</v>
      </c>
      <c r="S457" s="4">
        <v>7</v>
      </c>
      <c r="T457" s="4">
        <v>7</v>
      </c>
      <c r="U457" s="5" t="s">
        <v>5412</v>
      </c>
      <c r="V457" s="5" t="s">
        <v>5412</v>
      </c>
      <c r="W457" s="5" t="s">
        <v>5413</v>
      </c>
      <c r="X457" s="5" t="s">
        <v>5413</v>
      </c>
      <c r="Y457" s="4">
        <v>403</v>
      </c>
      <c r="Z457" s="4">
        <v>304</v>
      </c>
      <c r="AA457" s="4">
        <v>310</v>
      </c>
      <c r="AB457" s="4">
        <v>4</v>
      </c>
      <c r="AC457" s="4">
        <v>4</v>
      </c>
      <c r="AD457" s="4">
        <v>2</v>
      </c>
      <c r="AE457" s="4">
        <v>2</v>
      </c>
      <c r="AF457" s="4">
        <v>0</v>
      </c>
      <c r="AG457" s="4">
        <v>0</v>
      </c>
      <c r="AH457" s="4">
        <v>2</v>
      </c>
      <c r="AI457" s="4">
        <v>2</v>
      </c>
      <c r="AJ457" s="4">
        <v>0</v>
      </c>
      <c r="AK457" s="4">
        <v>0</v>
      </c>
      <c r="AL457" s="4">
        <v>0</v>
      </c>
      <c r="AM457" s="4">
        <v>0</v>
      </c>
      <c r="AN457" s="4">
        <v>0</v>
      </c>
      <c r="AO457" s="4">
        <v>0</v>
      </c>
      <c r="AP457" s="3" t="s">
        <v>61</v>
      </c>
      <c r="AQ457" s="3" t="s">
        <v>61</v>
      </c>
      <c r="AS457" s="6" t="str">
        <f>HYPERLINK("https://creighton-primo.hosted.exlibrisgroup.com/primo-explore/search?tab=default_tab&amp;search_scope=EVERYTHING&amp;vid=01CRU&amp;lang=en_US&amp;offset=0&amp;query=any,contains,991003806909702656","Catalog Record")</f>
        <v>Catalog Record</v>
      </c>
      <c r="AT457" s="6" t="str">
        <f>HYPERLINK("http://www.worldcat.org/oclc/1530958","WorldCat Record")</f>
        <v>WorldCat Record</v>
      </c>
      <c r="AU457" s="3" t="s">
        <v>5414</v>
      </c>
      <c r="AV457" s="3" t="s">
        <v>5415</v>
      </c>
      <c r="AW457" s="3" t="s">
        <v>5416</v>
      </c>
      <c r="AX457" s="3" t="s">
        <v>5416</v>
      </c>
      <c r="AY457" s="3" t="s">
        <v>5417</v>
      </c>
      <c r="AZ457" s="3" t="s">
        <v>75</v>
      </c>
      <c r="BB457" s="3" t="s">
        <v>5418</v>
      </c>
      <c r="BC457" s="3" t="s">
        <v>5419</v>
      </c>
      <c r="BD457" s="3" t="s">
        <v>5420</v>
      </c>
    </row>
    <row r="458" spans="1:56" ht="44.25" customHeight="1" x14ac:dyDescent="0.25">
      <c r="A458" s="7" t="s">
        <v>61</v>
      </c>
      <c r="B458" s="2" t="s">
        <v>5421</v>
      </c>
      <c r="C458" s="2" t="s">
        <v>5422</v>
      </c>
      <c r="D458" s="2" t="s">
        <v>5423</v>
      </c>
      <c r="F458" s="3" t="s">
        <v>61</v>
      </c>
      <c r="G458" s="3" t="s">
        <v>60</v>
      </c>
      <c r="H458" s="3" t="s">
        <v>61</v>
      </c>
      <c r="I458" s="3" t="s">
        <v>61</v>
      </c>
      <c r="J458" s="3" t="s">
        <v>62</v>
      </c>
      <c r="K458" s="2" t="s">
        <v>5424</v>
      </c>
      <c r="L458" s="2" t="s">
        <v>5425</v>
      </c>
      <c r="M458" s="3" t="s">
        <v>1319</v>
      </c>
      <c r="O458" s="3" t="s">
        <v>114</v>
      </c>
      <c r="P458" s="3" t="s">
        <v>235</v>
      </c>
      <c r="R458" s="3" t="s">
        <v>68</v>
      </c>
      <c r="S458" s="4">
        <v>5</v>
      </c>
      <c r="T458" s="4">
        <v>5</v>
      </c>
      <c r="U458" s="5" t="s">
        <v>3630</v>
      </c>
      <c r="V458" s="5" t="s">
        <v>3630</v>
      </c>
      <c r="W458" s="5" t="s">
        <v>5426</v>
      </c>
      <c r="X458" s="5" t="s">
        <v>5426</v>
      </c>
      <c r="Y458" s="4">
        <v>1982</v>
      </c>
      <c r="Z458" s="4">
        <v>1921</v>
      </c>
      <c r="AA458" s="4">
        <v>2550</v>
      </c>
      <c r="AB458" s="4">
        <v>15</v>
      </c>
      <c r="AC458" s="4">
        <v>19</v>
      </c>
      <c r="AD458" s="4">
        <v>44</v>
      </c>
      <c r="AE458" s="4">
        <v>49</v>
      </c>
      <c r="AF458" s="4">
        <v>19</v>
      </c>
      <c r="AG458" s="4">
        <v>23</v>
      </c>
      <c r="AH458" s="4">
        <v>7</v>
      </c>
      <c r="AI458" s="4">
        <v>8</v>
      </c>
      <c r="AJ458" s="4">
        <v>20</v>
      </c>
      <c r="AK458" s="4">
        <v>22</v>
      </c>
      <c r="AL458" s="4">
        <v>9</v>
      </c>
      <c r="AM458" s="4">
        <v>9</v>
      </c>
      <c r="AN458" s="4">
        <v>0</v>
      </c>
      <c r="AO458" s="4">
        <v>0</v>
      </c>
      <c r="AP458" s="3" t="s">
        <v>61</v>
      </c>
      <c r="AQ458" s="3" t="s">
        <v>59</v>
      </c>
      <c r="AR458" s="6" t="str">
        <f>HYPERLINK("http://catalog.hathitrust.org/Record/000005406","HathiTrust Record")</f>
        <v>HathiTrust Record</v>
      </c>
      <c r="AS458" s="6" t="str">
        <f>HYPERLINK("https://creighton-primo.hosted.exlibrisgroup.com/primo-explore/search?tab=default_tab&amp;search_scope=EVERYTHING&amp;vid=01CRU&amp;lang=en_US&amp;offset=0&amp;query=any,contains,991002641639702656","Catalog Record")</f>
        <v>Catalog Record</v>
      </c>
      <c r="AT458" s="6" t="str">
        <f>HYPERLINK("http://www.worldcat.org/oclc/384558","WorldCat Record")</f>
        <v>WorldCat Record</v>
      </c>
      <c r="AU458" s="3" t="s">
        <v>5427</v>
      </c>
      <c r="AV458" s="3" t="s">
        <v>5428</v>
      </c>
      <c r="AW458" s="3" t="s">
        <v>5429</v>
      </c>
      <c r="AX458" s="3" t="s">
        <v>5429</v>
      </c>
      <c r="AY458" s="3" t="s">
        <v>5430</v>
      </c>
      <c r="AZ458" s="3" t="s">
        <v>75</v>
      </c>
      <c r="BC458" s="3" t="s">
        <v>5431</v>
      </c>
      <c r="BD458" s="3" t="s">
        <v>5432</v>
      </c>
    </row>
    <row r="459" spans="1:56" ht="44.25" customHeight="1" x14ac:dyDescent="0.25">
      <c r="A459" s="7" t="s">
        <v>61</v>
      </c>
      <c r="B459" s="2" t="s">
        <v>5433</v>
      </c>
      <c r="C459" s="2" t="s">
        <v>5434</v>
      </c>
      <c r="D459" s="2" t="s">
        <v>5435</v>
      </c>
      <c r="F459" s="3" t="s">
        <v>61</v>
      </c>
      <c r="G459" s="3" t="s">
        <v>60</v>
      </c>
      <c r="H459" s="3" t="s">
        <v>61</v>
      </c>
      <c r="I459" s="3" t="s">
        <v>61</v>
      </c>
      <c r="J459" s="3" t="s">
        <v>62</v>
      </c>
      <c r="K459" s="2" t="s">
        <v>5436</v>
      </c>
      <c r="L459" s="2" t="s">
        <v>5437</v>
      </c>
      <c r="M459" s="3" t="s">
        <v>1744</v>
      </c>
      <c r="O459" s="3" t="s">
        <v>114</v>
      </c>
      <c r="P459" s="3" t="s">
        <v>67</v>
      </c>
      <c r="Q459" s="2" t="s">
        <v>5438</v>
      </c>
      <c r="R459" s="3" t="s">
        <v>68</v>
      </c>
      <c r="S459" s="4">
        <v>9</v>
      </c>
      <c r="T459" s="4">
        <v>9</v>
      </c>
      <c r="U459" s="5" t="s">
        <v>5439</v>
      </c>
      <c r="V459" s="5" t="s">
        <v>5439</v>
      </c>
      <c r="W459" s="5" t="s">
        <v>5440</v>
      </c>
      <c r="X459" s="5" t="s">
        <v>5440</v>
      </c>
      <c r="Y459" s="4">
        <v>117</v>
      </c>
      <c r="Z459" s="4">
        <v>60</v>
      </c>
      <c r="AA459" s="4">
        <v>500</v>
      </c>
      <c r="AB459" s="4">
        <v>2</v>
      </c>
      <c r="AC459" s="4">
        <v>3</v>
      </c>
      <c r="AD459" s="4">
        <v>3</v>
      </c>
      <c r="AE459" s="4">
        <v>13</v>
      </c>
      <c r="AF459" s="4">
        <v>1</v>
      </c>
      <c r="AG459" s="4">
        <v>4</v>
      </c>
      <c r="AH459" s="4">
        <v>0</v>
      </c>
      <c r="AI459" s="4">
        <v>2</v>
      </c>
      <c r="AJ459" s="4">
        <v>2</v>
      </c>
      <c r="AK459" s="4">
        <v>9</v>
      </c>
      <c r="AL459" s="4">
        <v>1</v>
      </c>
      <c r="AM459" s="4">
        <v>2</v>
      </c>
      <c r="AN459" s="4">
        <v>0</v>
      </c>
      <c r="AO459" s="4">
        <v>0</v>
      </c>
      <c r="AP459" s="3" t="s">
        <v>61</v>
      </c>
      <c r="AQ459" s="3" t="s">
        <v>59</v>
      </c>
      <c r="AR459" s="6" t="str">
        <f>HYPERLINK("http://catalog.hathitrust.org/Record/000403112","HathiTrust Record")</f>
        <v>HathiTrust Record</v>
      </c>
      <c r="AS459" s="6" t="str">
        <f>HYPERLINK("https://creighton-primo.hosted.exlibrisgroup.com/primo-explore/search?tab=default_tab&amp;search_scope=EVERYTHING&amp;vid=01CRU&amp;lang=en_US&amp;offset=0&amp;query=any,contains,991002992669702656","Catalog Record")</f>
        <v>Catalog Record</v>
      </c>
      <c r="AT459" s="6" t="str">
        <f>HYPERLINK("http://www.worldcat.org/oclc/561734","WorldCat Record")</f>
        <v>WorldCat Record</v>
      </c>
      <c r="AU459" s="3" t="s">
        <v>5441</v>
      </c>
      <c r="AV459" s="3" t="s">
        <v>5442</v>
      </c>
      <c r="AW459" s="3" t="s">
        <v>5443</v>
      </c>
      <c r="AX459" s="3" t="s">
        <v>5443</v>
      </c>
      <c r="AY459" s="3" t="s">
        <v>5444</v>
      </c>
      <c r="AZ459" s="3" t="s">
        <v>75</v>
      </c>
      <c r="BC459" s="3" t="s">
        <v>5445</v>
      </c>
      <c r="BD459" s="3" t="s">
        <v>5446</v>
      </c>
    </row>
    <row r="460" spans="1:56" ht="44.25" customHeight="1" x14ac:dyDescent="0.25">
      <c r="A460" s="7" t="s">
        <v>61</v>
      </c>
      <c r="B460" s="2" t="s">
        <v>5447</v>
      </c>
      <c r="C460" s="2" t="s">
        <v>5448</v>
      </c>
      <c r="D460" s="2" t="s">
        <v>5449</v>
      </c>
      <c r="F460" s="3" t="s">
        <v>61</v>
      </c>
      <c r="G460" s="3" t="s">
        <v>60</v>
      </c>
      <c r="H460" s="3" t="s">
        <v>61</v>
      </c>
      <c r="I460" s="3" t="s">
        <v>61</v>
      </c>
      <c r="J460" s="3" t="s">
        <v>62</v>
      </c>
      <c r="K460" s="2" t="s">
        <v>4400</v>
      </c>
      <c r="L460" s="2" t="s">
        <v>5450</v>
      </c>
      <c r="M460" s="3" t="s">
        <v>1319</v>
      </c>
      <c r="N460" s="2" t="s">
        <v>4324</v>
      </c>
      <c r="O460" s="3" t="s">
        <v>114</v>
      </c>
      <c r="P460" s="3" t="s">
        <v>235</v>
      </c>
      <c r="R460" s="3" t="s">
        <v>68</v>
      </c>
      <c r="S460" s="4">
        <v>6</v>
      </c>
      <c r="T460" s="4">
        <v>6</v>
      </c>
      <c r="U460" s="5" t="s">
        <v>3141</v>
      </c>
      <c r="V460" s="5" t="s">
        <v>3141</v>
      </c>
      <c r="W460" s="5" t="s">
        <v>5413</v>
      </c>
      <c r="X460" s="5" t="s">
        <v>5413</v>
      </c>
      <c r="Y460" s="4">
        <v>576</v>
      </c>
      <c r="Z460" s="4">
        <v>568</v>
      </c>
      <c r="AA460" s="4">
        <v>584</v>
      </c>
      <c r="AB460" s="4">
        <v>4</v>
      </c>
      <c r="AC460" s="4">
        <v>4</v>
      </c>
      <c r="AD460" s="4">
        <v>14</v>
      </c>
      <c r="AE460" s="4">
        <v>14</v>
      </c>
      <c r="AF460" s="4">
        <v>6</v>
      </c>
      <c r="AG460" s="4">
        <v>6</v>
      </c>
      <c r="AH460" s="4">
        <v>4</v>
      </c>
      <c r="AI460" s="4">
        <v>4</v>
      </c>
      <c r="AJ460" s="4">
        <v>6</v>
      </c>
      <c r="AK460" s="4">
        <v>6</v>
      </c>
      <c r="AL460" s="4">
        <v>2</v>
      </c>
      <c r="AM460" s="4">
        <v>2</v>
      </c>
      <c r="AN460" s="4">
        <v>0</v>
      </c>
      <c r="AO460" s="4">
        <v>0</v>
      </c>
      <c r="AP460" s="3" t="s">
        <v>61</v>
      </c>
      <c r="AQ460" s="3" t="s">
        <v>61</v>
      </c>
      <c r="AS460" s="6" t="str">
        <f>HYPERLINK("https://creighton-primo.hosted.exlibrisgroup.com/primo-explore/search?tab=default_tab&amp;search_scope=EVERYTHING&amp;vid=01CRU&amp;lang=en_US&amp;offset=0&amp;query=any,contains,991001955749702656","Catalog Record")</f>
        <v>Catalog Record</v>
      </c>
      <c r="AT460" s="6" t="str">
        <f>HYPERLINK("http://www.worldcat.org/oclc/253080","WorldCat Record")</f>
        <v>WorldCat Record</v>
      </c>
      <c r="AU460" s="3" t="s">
        <v>5451</v>
      </c>
      <c r="AV460" s="3" t="s">
        <v>5452</v>
      </c>
      <c r="AW460" s="3" t="s">
        <v>5453</v>
      </c>
      <c r="AX460" s="3" t="s">
        <v>5453</v>
      </c>
      <c r="AY460" s="3" t="s">
        <v>5454</v>
      </c>
      <c r="AZ460" s="3" t="s">
        <v>75</v>
      </c>
      <c r="BC460" s="3" t="s">
        <v>5455</v>
      </c>
      <c r="BD460" s="3" t="s">
        <v>5456</v>
      </c>
    </row>
    <row r="461" spans="1:56" ht="44.25" customHeight="1" x14ac:dyDescent="0.25">
      <c r="A461" s="7" t="s">
        <v>61</v>
      </c>
      <c r="B461" s="2" t="s">
        <v>5457</v>
      </c>
      <c r="C461" s="2" t="s">
        <v>5458</v>
      </c>
      <c r="D461" s="2" t="s">
        <v>5459</v>
      </c>
      <c r="F461" s="3" t="s">
        <v>61</v>
      </c>
      <c r="G461" s="3" t="s">
        <v>60</v>
      </c>
      <c r="H461" s="3" t="s">
        <v>61</v>
      </c>
      <c r="I461" s="3" t="s">
        <v>61</v>
      </c>
      <c r="J461" s="3" t="s">
        <v>62</v>
      </c>
      <c r="K461" s="2" t="s">
        <v>5460</v>
      </c>
      <c r="L461" s="2" t="s">
        <v>5461</v>
      </c>
      <c r="M461" s="3" t="s">
        <v>305</v>
      </c>
      <c r="O461" s="3" t="s">
        <v>114</v>
      </c>
      <c r="P461" s="3" t="s">
        <v>235</v>
      </c>
      <c r="R461" s="3" t="s">
        <v>68</v>
      </c>
      <c r="S461" s="4">
        <v>10</v>
      </c>
      <c r="T461" s="4">
        <v>10</v>
      </c>
      <c r="U461" s="5" t="s">
        <v>3630</v>
      </c>
      <c r="V461" s="5" t="s">
        <v>3630</v>
      </c>
      <c r="W461" s="5" t="s">
        <v>5462</v>
      </c>
      <c r="X461" s="5" t="s">
        <v>5462</v>
      </c>
      <c r="Y461" s="4">
        <v>735</v>
      </c>
      <c r="Z461" s="4">
        <v>690</v>
      </c>
      <c r="AA461" s="4">
        <v>836</v>
      </c>
      <c r="AB461" s="4">
        <v>5</v>
      </c>
      <c r="AC461" s="4">
        <v>6</v>
      </c>
      <c r="AD461" s="4">
        <v>17</v>
      </c>
      <c r="AE461" s="4">
        <v>17</v>
      </c>
      <c r="AF461" s="4">
        <v>8</v>
      </c>
      <c r="AG461" s="4">
        <v>8</v>
      </c>
      <c r="AH461" s="4">
        <v>4</v>
      </c>
      <c r="AI461" s="4">
        <v>4</v>
      </c>
      <c r="AJ461" s="4">
        <v>8</v>
      </c>
      <c r="AK461" s="4">
        <v>8</v>
      </c>
      <c r="AL461" s="4">
        <v>2</v>
      </c>
      <c r="AM461" s="4">
        <v>2</v>
      </c>
      <c r="AN461" s="4">
        <v>0</v>
      </c>
      <c r="AO461" s="4">
        <v>0</v>
      </c>
      <c r="AP461" s="3" t="s">
        <v>61</v>
      </c>
      <c r="AQ461" s="3" t="s">
        <v>59</v>
      </c>
      <c r="AR461" s="6" t="str">
        <f>HYPERLINK("http://catalog.hathitrust.org/Record/000399929","HathiTrust Record")</f>
        <v>HathiTrust Record</v>
      </c>
      <c r="AS461" s="6" t="str">
        <f>HYPERLINK("https://creighton-primo.hosted.exlibrisgroup.com/primo-explore/search?tab=default_tab&amp;search_scope=EVERYTHING&amp;vid=01CRU&amp;lang=en_US&amp;offset=0&amp;query=any,contains,991003450569702656","Catalog Record")</f>
        <v>Catalog Record</v>
      </c>
      <c r="AT461" s="6" t="str">
        <f>HYPERLINK("http://www.worldcat.org/oclc/988106","WorldCat Record")</f>
        <v>WorldCat Record</v>
      </c>
      <c r="AU461" s="3" t="s">
        <v>5463</v>
      </c>
      <c r="AV461" s="3" t="s">
        <v>5464</v>
      </c>
      <c r="AW461" s="3" t="s">
        <v>5465</v>
      </c>
      <c r="AX461" s="3" t="s">
        <v>5465</v>
      </c>
      <c r="AY461" s="3" t="s">
        <v>5466</v>
      </c>
      <c r="AZ461" s="3" t="s">
        <v>75</v>
      </c>
      <c r="BC461" s="3" t="s">
        <v>5467</v>
      </c>
      <c r="BD461" s="3" t="s">
        <v>5468</v>
      </c>
    </row>
    <row r="462" spans="1:56" ht="44.25" customHeight="1" x14ac:dyDescent="0.25">
      <c r="A462" s="7" t="s">
        <v>61</v>
      </c>
      <c r="B462" s="2" t="s">
        <v>5469</v>
      </c>
      <c r="C462" s="2" t="s">
        <v>5470</v>
      </c>
      <c r="D462" s="2" t="s">
        <v>5471</v>
      </c>
      <c r="F462" s="3" t="s">
        <v>61</v>
      </c>
      <c r="G462" s="3" t="s">
        <v>60</v>
      </c>
      <c r="H462" s="3" t="s">
        <v>61</v>
      </c>
      <c r="I462" s="3" t="s">
        <v>61</v>
      </c>
      <c r="J462" s="3" t="s">
        <v>62</v>
      </c>
      <c r="K462" s="2" t="s">
        <v>5472</v>
      </c>
      <c r="L462" s="2" t="s">
        <v>5473</v>
      </c>
      <c r="M462" s="3" t="s">
        <v>305</v>
      </c>
      <c r="O462" s="3" t="s">
        <v>114</v>
      </c>
      <c r="P462" s="3" t="s">
        <v>1114</v>
      </c>
      <c r="Q462" s="2" t="s">
        <v>5474</v>
      </c>
      <c r="R462" s="3" t="s">
        <v>68</v>
      </c>
      <c r="S462" s="4">
        <v>2</v>
      </c>
      <c r="T462" s="4">
        <v>2</v>
      </c>
      <c r="U462" s="5" t="s">
        <v>5475</v>
      </c>
      <c r="V462" s="5" t="s">
        <v>5475</v>
      </c>
      <c r="W462" s="5" t="s">
        <v>2046</v>
      </c>
      <c r="X462" s="5" t="s">
        <v>2046</v>
      </c>
      <c r="Y462" s="4">
        <v>1013</v>
      </c>
      <c r="Z462" s="4">
        <v>849</v>
      </c>
      <c r="AA462" s="4">
        <v>855</v>
      </c>
      <c r="AB462" s="4">
        <v>4</v>
      </c>
      <c r="AC462" s="4">
        <v>4</v>
      </c>
      <c r="AD462" s="4">
        <v>35</v>
      </c>
      <c r="AE462" s="4">
        <v>35</v>
      </c>
      <c r="AF462" s="4">
        <v>14</v>
      </c>
      <c r="AG462" s="4">
        <v>14</v>
      </c>
      <c r="AH462" s="4">
        <v>11</v>
      </c>
      <c r="AI462" s="4">
        <v>11</v>
      </c>
      <c r="AJ462" s="4">
        <v>16</v>
      </c>
      <c r="AK462" s="4">
        <v>16</v>
      </c>
      <c r="AL462" s="4">
        <v>3</v>
      </c>
      <c r="AM462" s="4">
        <v>3</v>
      </c>
      <c r="AN462" s="4">
        <v>0</v>
      </c>
      <c r="AO462" s="4">
        <v>0</v>
      </c>
      <c r="AP462" s="3" t="s">
        <v>61</v>
      </c>
      <c r="AQ462" s="3" t="s">
        <v>59</v>
      </c>
      <c r="AR462" s="6" t="str">
        <f>HYPERLINK("http://catalog.hathitrust.org/Record/000013946","HathiTrust Record")</f>
        <v>HathiTrust Record</v>
      </c>
      <c r="AS462" s="6" t="str">
        <f>HYPERLINK("https://creighton-primo.hosted.exlibrisgroup.com/primo-explore/search?tab=default_tab&amp;search_scope=EVERYTHING&amp;vid=01CRU&amp;lang=en_US&amp;offset=0&amp;query=any,contains,991003583149702656","Catalog Record")</f>
        <v>Catalog Record</v>
      </c>
      <c r="AT462" s="6" t="str">
        <f>HYPERLINK("http://www.worldcat.org/oclc/891585","WorldCat Record")</f>
        <v>WorldCat Record</v>
      </c>
      <c r="AU462" s="3" t="s">
        <v>5476</v>
      </c>
      <c r="AV462" s="3" t="s">
        <v>5477</v>
      </c>
      <c r="AW462" s="3" t="s">
        <v>5478</v>
      </c>
      <c r="AX462" s="3" t="s">
        <v>5478</v>
      </c>
      <c r="AY462" s="3" t="s">
        <v>5479</v>
      </c>
      <c r="AZ462" s="3" t="s">
        <v>75</v>
      </c>
      <c r="BC462" s="3" t="s">
        <v>5480</v>
      </c>
      <c r="BD462" s="3" t="s">
        <v>5481</v>
      </c>
    </row>
    <row r="463" spans="1:56" ht="44.25" customHeight="1" x14ac:dyDescent="0.25">
      <c r="A463" s="7" t="s">
        <v>61</v>
      </c>
      <c r="B463" s="2" t="s">
        <v>5482</v>
      </c>
      <c r="C463" s="2" t="s">
        <v>5483</v>
      </c>
      <c r="D463" s="2" t="s">
        <v>5484</v>
      </c>
      <c r="F463" s="3" t="s">
        <v>61</v>
      </c>
      <c r="G463" s="3" t="s">
        <v>60</v>
      </c>
      <c r="H463" s="3" t="s">
        <v>61</v>
      </c>
      <c r="I463" s="3" t="s">
        <v>61</v>
      </c>
      <c r="J463" s="3" t="s">
        <v>62</v>
      </c>
      <c r="K463" s="2" t="s">
        <v>5485</v>
      </c>
      <c r="L463" s="2" t="s">
        <v>5486</v>
      </c>
      <c r="M463" s="3" t="s">
        <v>4440</v>
      </c>
      <c r="O463" s="3" t="s">
        <v>114</v>
      </c>
      <c r="P463" s="3" t="s">
        <v>235</v>
      </c>
      <c r="R463" s="3" t="s">
        <v>68</v>
      </c>
      <c r="S463" s="4">
        <v>3</v>
      </c>
      <c r="T463" s="4">
        <v>3</v>
      </c>
      <c r="U463" s="5" t="s">
        <v>5487</v>
      </c>
      <c r="V463" s="5" t="s">
        <v>5487</v>
      </c>
      <c r="W463" s="5" t="s">
        <v>4083</v>
      </c>
      <c r="X463" s="5" t="s">
        <v>4083</v>
      </c>
      <c r="Y463" s="4">
        <v>346</v>
      </c>
      <c r="Z463" s="4">
        <v>322</v>
      </c>
      <c r="AA463" s="4">
        <v>364</v>
      </c>
      <c r="AB463" s="4">
        <v>3</v>
      </c>
      <c r="AC463" s="4">
        <v>4</v>
      </c>
      <c r="AD463" s="4">
        <v>17</v>
      </c>
      <c r="AE463" s="4">
        <v>20</v>
      </c>
      <c r="AF463" s="4">
        <v>4</v>
      </c>
      <c r="AG463" s="4">
        <v>5</v>
      </c>
      <c r="AH463" s="4">
        <v>4</v>
      </c>
      <c r="AI463" s="4">
        <v>5</v>
      </c>
      <c r="AJ463" s="4">
        <v>9</v>
      </c>
      <c r="AK463" s="4">
        <v>9</v>
      </c>
      <c r="AL463" s="4">
        <v>2</v>
      </c>
      <c r="AM463" s="4">
        <v>3</v>
      </c>
      <c r="AN463" s="4">
        <v>0</v>
      </c>
      <c r="AO463" s="4">
        <v>0</v>
      </c>
      <c r="AP463" s="3" t="s">
        <v>59</v>
      </c>
      <c r="AQ463" s="3" t="s">
        <v>61</v>
      </c>
      <c r="AR463" s="6" t="str">
        <f>HYPERLINK("http://catalog.hathitrust.org/Record/000440404","HathiTrust Record")</f>
        <v>HathiTrust Record</v>
      </c>
      <c r="AS463" s="6" t="str">
        <f>HYPERLINK("https://creighton-primo.hosted.exlibrisgroup.com/primo-explore/search?tab=default_tab&amp;search_scope=EVERYTHING&amp;vid=01CRU&amp;lang=en_US&amp;offset=0&amp;query=any,contains,991003602449702656","Catalog Record")</f>
        <v>Catalog Record</v>
      </c>
      <c r="AT463" s="6" t="str">
        <f>HYPERLINK("http://www.worldcat.org/oclc/1180930","WorldCat Record")</f>
        <v>WorldCat Record</v>
      </c>
      <c r="AU463" s="3" t="s">
        <v>5488</v>
      </c>
      <c r="AV463" s="3" t="s">
        <v>5489</v>
      </c>
      <c r="AW463" s="3" t="s">
        <v>5490</v>
      </c>
      <c r="AX463" s="3" t="s">
        <v>5490</v>
      </c>
      <c r="AY463" s="3" t="s">
        <v>5491</v>
      </c>
      <c r="AZ463" s="3" t="s">
        <v>75</v>
      </c>
      <c r="BC463" s="3" t="s">
        <v>5492</v>
      </c>
      <c r="BD463" s="3" t="s">
        <v>5493</v>
      </c>
    </row>
    <row r="464" spans="1:56" ht="44.25" customHeight="1" x14ac:dyDescent="0.25">
      <c r="A464" s="7" t="s">
        <v>61</v>
      </c>
      <c r="B464" s="2" t="s">
        <v>5494</v>
      </c>
      <c r="C464" s="2" t="s">
        <v>5495</v>
      </c>
      <c r="D464" s="2" t="s">
        <v>5496</v>
      </c>
      <c r="F464" s="3" t="s">
        <v>61</v>
      </c>
      <c r="G464" s="3" t="s">
        <v>60</v>
      </c>
      <c r="H464" s="3" t="s">
        <v>61</v>
      </c>
      <c r="I464" s="3" t="s">
        <v>61</v>
      </c>
      <c r="J464" s="3" t="s">
        <v>62</v>
      </c>
      <c r="K464" s="2" t="s">
        <v>5497</v>
      </c>
      <c r="L464" s="2" t="s">
        <v>5498</v>
      </c>
      <c r="M464" s="3" t="s">
        <v>966</v>
      </c>
      <c r="O464" s="3" t="s">
        <v>114</v>
      </c>
      <c r="P464" s="3" t="s">
        <v>67</v>
      </c>
      <c r="R464" s="3" t="s">
        <v>68</v>
      </c>
      <c r="S464" s="4">
        <v>2</v>
      </c>
      <c r="T464" s="4">
        <v>2</v>
      </c>
      <c r="U464" s="5" t="s">
        <v>5499</v>
      </c>
      <c r="V464" s="5" t="s">
        <v>5499</v>
      </c>
      <c r="W464" s="5" t="s">
        <v>5500</v>
      </c>
      <c r="X464" s="5" t="s">
        <v>5500</v>
      </c>
      <c r="Y464" s="4">
        <v>98</v>
      </c>
      <c r="Z464" s="4">
        <v>96</v>
      </c>
      <c r="AA464" s="4">
        <v>113</v>
      </c>
      <c r="AB464" s="4">
        <v>3</v>
      </c>
      <c r="AC464" s="4">
        <v>3</v>
      </c>
      <c r="AD464" s="4">
        <v>6</v>
      </c>
      <c r="AE464" s="4">
        <v>7</v>
      </c>
      <c r="AF464" s="4">
        <v>1</v>
      </c>
      <c r="AG464" s="4">
        <v>1</v>
      </c>
      <c r="AH464" s="4">
        <v>0</v>
      </c>
      <c r="AI464" s="4">
        <v>1</v>
      </c>
      <c r="AJ464" s="4">
        <v>3</v>
      </c>
      <c r="AK464" s="4">
        <v>3</v>
      </c>
      <c r="AL464" s="4">
        <v>2</v>
      </c>
      <c r="AM464" s="4">
        <v>2</v>
      </c>
      <c r="AN464" s="4">
        <v>0</v>
      </c>
      <c r="AO464" s="4">
        <v>0</v>
      </c>
      <c r="AP464" s="3" t="s">
        <v>59</v>
      </c>
      <c r="AQ464" s="3" t="s">
        <v>61</v>
      </c>
      <c r="AR464" s="6" t="str">
        <f>HYPERLINK("http://catalog.hathitrust.org/Record/000401183","HathiTrust Record")</f>
        <v>HathiTrust Record</v>
      </c>
      <c r="AS464" s="6" t="str">
        <f>HYPERLINK("https://creighton-primo.hosted.exlibrisgroup.com/primo-explore/search?tab=default_tab&amp;search_scope=EVERYTHING&amp;vid=01CRU&amp;lang=en_US&amp;offset=0&amp;query=any,contains,991004547199702656","Catalog Record")</f>
        <v>Catalog Record</v>
      </c>
      <c r="AT464" s="6" t="str">
        <f>HYPERLINK("http://www.worldcat.org/oclc/3916714","WorldCat Record")</f>
        <v>WorldCat Record</v>
      </c>
      <c r="AU464" s="3" t="s">
        <v>5501</v>
      </c>
      <c r="AV464" s="3" t="s">
        <v>5502</v>
      </c>
      <c r="AW464" s="3" t="s">
        <v>5503</v>
      </c>
      <c r="AX464" s="3" t="s">
        <v>5503</v>
      </c>
      <c r="AY464" s="3" t="s">
        <v>5504</v>
      </c>
      <c r="AZ464" s="3" t="s">
        <v>75</v>
      </c>
      <c r="BC464" s="3" t="s">
        <v>5505</v>
      </c>
      <c r="BD464" s="3" t="s">
        <v>5506</v>
      </c>
    </row>
    <row r="465" spans="1:56" ht="44.25" customHeight="1" x14ac:dyDescent="0.25">
      <c r="A465" s="7" t="s">
        <v>61</v>
      </c>
      <c r="B465" s="2" t="s">
        <v>5507</v>
      </c>
      <c r="C465" s="2" t="s">
        <v>5508</v>
      </c>
      <c r="D465" s="2" t="s">
        <v>5509</v>
      </c>
      <c r="F465" s="3" t="s">
        <v>61</v>
      </c>
      <c r="G465" s="3" t="s">
        <v>60</v>
      </c>
      <c r="H465" s="3" t="s">
        <v>61</v>
      </c>
      <c r="I465" s="3" t="s">
        <v>61</v>
      </c>
      <c r="J465" s="3" t="s">
        <v>62</v>
      </c>
      <c r="K465" s="2" t="s">
        <v>5510</v>
      </c>
      <c r="L465" s="2" t="s">
        <v>5511</v>
      </c>
      <c r="M465" s="3" t="s">
        <v>4914</v>
      </c>
      <c r="O465" s="3" t="s">
        <v>114</v>
      </c>
      <c r="P465" s="3" t="s">
        <v>115</v>
      </c>
      <c r="R465" s="3" t="s">
        <v>68</v>
      </c>
      <c r="S465" s="4">
        <v>2</v>
      </c>
      <c r="T465" s="4">
        <v>2</v>
      </c>
      <c r="U465" s="5" t="s">
        <v>5487</v>
      </c>
      <c r="V465" s="5" t="s">
        <v>5487</v>
      </c>
      <c r="W465" s="5" t="s">
        <v>4083</v>
      </c>
      <c r="X465" s="5" t="s">
        <v>4083</v>
      </c>
      <c r="Y465" s="4">
        <v>144</v>
      </c>
      <c r="Z465" s="4">
        <v>127</v>
      </c>
      <c r="AA465" s="4">
        <v>196</v>
      </c>
      <c r="AB465" s="4">
        <v>2</v>
      </c>
      <c r="AC465" s="4">
        <v>3</v>
      </c>
      <c r="AD465" s="4">
        <v>1</v>
      </c>
      <c r="AE465" s="4">
        <v>4</v>
      </c>
      <c r="AF465" s="4">
        <v>0</v>
      </c>
      <c r="AG465" s="4">
        <v>0</v>
      </c>
      <c r="AH465" s="4">
        <v>0</v>
      </c>
      <c r="AI465" s="4">
        <v>2</v>
      </c>
      <c r="AJ465" s="4">
        <v>0</v>
      </c>
      <c r="AK465" s="4">
        <v>1</v>
      </c>
      <c r="AL465" s="4">
        <v>1</v>
      </c>
      <c r="AM465" s="4">
        <v>2</v>
      </c>
      <c r="AN465" s="4">
        <v>0</v>
      </c>
      <c r="AO465" s="4">
        <v>0</v>
      </c>
      <c r="AP465" s="3" t="s">
        <v>59</v>
      </c>
      <c r="AQ465" s="3" t="s">
        <v>61</v>
      </c>
      <c r="AR465" s="6" t="str">
        <f>HYPERLINK("http://catalog.hathitrust.org/Record/000403871","HathiTrust Record")</f>
        <v>HathiTrust Record</v>
      </c>
      <c r="AS465" s="6" t="str">
        <f>HYPERLINK("https://creighton-primo.hosted.exlibrisgroup.com/primo-explore/search?tab=default_tab&amp;search_scope=EVERYTHING&amp;vid=01CRU&amp;lang=en_US&amp;offset=0&amp;query=any,contains,991003357029702656","Catalog Record")</f>
        <v>Catalog Record</v>
      </c>
      <c r="AT465" s="6" t="str">
        <f>HYPERLINK("http://www.worldcat.org/oclc/891011","WorldCat Record")</f>
        <v>WorldCat Record</v>
      </c>
      <c r="AU465" s="3" t="s">
        <v>5512</v>
      </c>
      <c r="AV465" s="3" t="s">
        <v>5513</v>
      </c>
      <c r="AW465" s="3" t="s">
        <v>5514</v>
      </c>
      <c r="AX465" s="3" t="s">
        <v>5514</v>
      </c>
      <c r="AY465" s="3" t="s">
        <v>5515</v>
      </c>
      <c r="AZ465" s="3" t="s">
        <v>75</v>
      </c>
      <c r="BC465" s="3" t="s">
        <v>5516</v>
      </c>
      <c r="BD465" s="3" t="s">
        <v>5517</v>
      </c>
    </row>
    <row r="466" spans="1:56" ht="44.25" customHeight="1" x14ac:dyDescent="0.25">
      <c r="A466" s="7" t="s">
        <v>61</v>
      </c>
      <c r="B466" s="2" t="s">
        <v>5518</v>
      </c>
      <c r="C466" s="2" t="s">
        <v>5519</v>
      </c>
      <c r="D466" s="2" t="s">
        <v>5520</v>
      </c>
      <c r="F466" s="3" t="s">
        <v>61</v>
      </c>
      <c r="G466" s="3" t="s">
        <v>60</v>
      </c>
      <c r="H466" s="3" t="s">
        <v>61</v>
      </c>
      <c r="I466" s="3" t="s">
        <v>61</v>
      </c>
      <c r="J466" s="3" t="s">
        <v>62</v>
      </c>
      <c r="K466" s="2" t="s">
        <v>5521</v>
      </c>
      <c r="L466" s="2" t="s">
        <v>5522</v>
      </c>
      <c r="M466" s="3" t="s">
        <v>4914</v>
      </c>
      <c r="O466" s="3" t="s">
        <v>114</v>
      </c>
      <c r="P466" s="3" t="s">
        <v>235</v>
      </c>
      <c r="R466" s="3" t="s">
        <v>68</v>
      </c>
      <c r="S466" s="4">
        <v>1</v>
      </c>
      <c r="T466" s="4">
        <v>1</v>
      </c>
      <c r="U466" s="5" t="s">
        <v>5523</v>
      </c>
      <c r="V466" s="5" t="s">
        <v>5523</v>
      </c>
      <c r="W466" s="5" t="s">
        <v>4083</v>
      </c>
      <c r="X466" s="5" t="s">
        <v>4083</v>
      </c>
      <c r="Y466" s="4">
        <v>243</v>
      </c>
      <c r="Z466" s="4">
        <v>219</v>
      </c>
      <c r="AA466" s="4">
        <v>236</v>
      </c>
      <c r="AB466" s="4">
        <v>1</v>
      </c>
      <c r="AC466" s="4">
        <v>2</v>
      </c>
      <c r="AD466" s="4">
        <v>10</v>
      </c>
      <c r="AE466" s="4">
        <v>13</v>
      </c>
      <c r="AF466" s="4">
        <v>2</v>
      </c>
      <c r="AG466" s="4">
        <v>3</v>
      </c>
      <c r="AH466" s="4">
        <v>4</v>
      </c>
      <c r="AI466" s="4">
        <v>5</v>
      </c>
      <c r="AJ466" s="4">
        <v>6</v>
      </c>
      <c r="AK466" s="4">
        <v>6</v>
      </c>
      <c r="AL466" s="4">
        <v>0</v>
      </c>
      <c r="AM466" s="4">
        <v>1</v>
      </c>
      <c r="AN466" s="4">
        <v>0</v>
      </c>
      <c r="AO466" s="4">
        <v>0</v>
      </c>
      <c r="AP466" s="3" t="s">
        <v>59</v>
      </c>
      <c r="AQ466" s="3" t="s">
        <v>61</v>
      </c>
      <c r="AR466" s="6" t="str">
        <f>HYPERLINK("http://catalog.hathitrust.org/Record/000116488","HathiTrust Record")</f>
        <v>HathiTrust Record</v>
      </c>
      <c r="AS466" s="6" t="str">
        <f>HYPERLINK("https://creighton-primo.hosted.exlibrisgroup.com/primo-explore/search?tab=default_tab&amp;search_scope=EVERYTHING&amp;vid=01CRU&amp;lang=en_US&amp;offset=0&amp;query=any,contains,991002813169702656","Catalog Record")</f>
        <v>Catalog Record</v>
      </c>
      <c r="AT466" s="6" t="str">
        <f>HYPERLINK("http://www.worldcat.org/oclc/456803","WorldCat Record")</f>
        <v>WorldCat Record</v>
      </c>
      <c r="AU466" s="3" t="s">
        <v>5524</v>
      </c>
      <c r="AV466" s="3" t="s">
        <v>5525</v>
      </c>
      <c r="AW466" s="3" t="s">
        <v>5526</v>
      </c>
      <c r="AX466" s="3" t="s">
        <v>5526</v>
      </c>
      <c r="AY466" s="3" t="s">
        <v>5527</v>
      </c>
      <c r="AZ466" s="3" t="s">
        <v>75</v>
      </c>
      <c r="BC466" s="3" t="s">
        <v>5528</v>
      </c>
      <c r="BD466" s="3" t="s">
        <v>5529</v>
      </c>
    </row>
    <row r="467" spans="1:56" ht="44.25" customHeight="1" x14ac:dyDescent="0.25">
      <c r="A467" s="7" t="s">
        <v>61</v>
      </c>
      <c r="B467" s="2" t="s">
        <v>5530</v>
      </c>
      <c r="C467" s="2" t="s">
        <v>5531</v>
      </c>
      <c r="D467" s="2" t="s">
        <v>5532</v>
      </c>
      <c r="F467" s="3" t="s">
        <v>61</v>
      </c>
      <c r="G467" s="3" t="s">
        <v>60</v>
      </c>
      <c r="H467" s="3" t="s">
        <v>61</v>
      </c>
      <c r="I467" s="3" t="s">
        <v>61</v>
      </c>
      <c r="J467" s="3" t="s">
        <v>62</v>
      </c>
      <c r="K467" s="2" t="s">
        <v>5533</v>
      </c>
      <c r="L467" s="2" t="s">
        <v>5534</v>
      </c>
      <c r="M467" s="3" t="s">
        <v>1032</v>
      </c>
      <c r="O467" s="3" t="s">
        <v>114</v>
      </c>
      <c r="P467" s="3" t="s">
        <v>235</v>
      </c>
      <c r="R467" s="3" t="s">
        <v>68</v>
      </c>
      <c r="S467" s="4">
        <v>3</v>
      </c>
      <c r="T467" s="4">
        <v>3</v>
      </c>
      <c r="U467" s="5" t="s">
        <v>5535</v>
      </c>
      <c r="V467" s="5" t="s">
        <v>5535</v>
      </c>
      <c r="W467" s="5" t="s">
        <v>4083</v>
      </c>
      <c r="X467" s="5" t="s">
        <v>4083</v>
      </c>
      <c r="Y467" s="4">
        <v>1012</v>
      </c>
      <c r="Z467" s="4">
        <v>943</v>
      </c>
      <c r="AA467" s="4">
        <v>1111</v>
      </c>
      <c r="AB467" s="4">
        <v>8</v>
      </c>
      <c r="AC467" s="4">
        <v>8</v>
      </c>
      <c r="AD467" s="4">
        <v>27</v>
      </c>
      <c r="AE467" s="4">
        <v>30</v>
      </c>
      <c r="AF467" s="4">
        <v>15</v>
      </c>
      <c r="AG467" s="4">
        <v>15</v>
      </c>
      <c r="AH467" s="4">
        <v>4</v>
      </c>
      <c r="AI467" s="4">
        <v>5</v>
      </c>
      <c r="AJ467" s="4">
        <v>11</v>
      </c>
      <c r="AK467" s="4">
        <v>13</v>
      </c>
      <c r="AL467" s="4">
        <v>4</v>
      </c>
      <c r="AM467" s="4">
        <v>4</v>
      </c>
      <c r="AN467" s="4">
        <v>0</v>
      </c>
      <c r="AO467" s="4">
        <v>0</v>
      </c>
      <c r="AP467" s="3" t="s">
        <v>61</v>
      </c>
      <c r="AQ467" s="3" t="s">
        <v>59</v>
      </c>
      <c r="AR467" s="6" t="str">
        <f>HYPERLINK("http://catalog.hathitrust.org/Record/000441322","HathiTrust Record")</f>
        <v>HathiTrust Record</v>
      </c>
      <c r="AS467" s="6" t="str">
        <f>HYPERLINK("https://creighton-primo.hosted.exlibrisgroup.com/primo-explore/search?tab=default_tab&amp;search_scope=EVERYTHING&amp;vid=01CRU&amp;lang=en_US&amp;offset=0&amp;query=any,contains,991002669509702656","Catalog Record")</f>
        <v>Catalog Record</v>
      </c>
      <c r="AT467" s="6" t="str">
        <f>HYPERLINK("http://www.worldcat.org/oclc/394624","WorldCat Record")</f>
        <v>WorldCat Record</v>
      </c>
      <c r="AU467" s="3" t="s">
        <v>5536</v>
      </c>
      <c r="AV467" s="3" t="s">
        <v>5537</v>
      </c>
      <c r="AW467" s="3" t="s">
        <v>5538</v>
      </c>
      <c r="AX467" s="3" t="s">
        <v>5538</v>
      </c>
      <c r="AY467" s="3" t="s">
        <v>5539</v>
      </c>
      <c r="AZ467" s="3" t="s">
        <v>75</v>
      </c>
      <c r="BC467" s="3" t="s">
        <v>5540</v>
      </c>
      <c r="BD467" s="3" t="s">
        <v>5541</v>
      </c>
    </row>
    <row r="468" spans="1:56" ht="44.25" customHeight="1" x14ac:dyDescent="0.25">
      <c r="A468" s="7" t="s">
        <v>61</v>
      </c>
      <c r="B468" s="2" t="s">
        <v>5542</v>
      </c>
      <c r="C468" s="2" t="s">
        <v>5543</v>
      </c>
      <c r="D468" s="2" t="s">
        <v>5544</v>
      </c>
      <c r="F468" s="3" t="s">
        <v>61</v>
      </c>
      <c r="G468" s="3" t="s">
        <v>60</v>
      </c>
      <c r="H468" s="3" t="s">
        <v>61</v>
      </c>
      <c r="I468" s="3" t="s">
        <v>61</v>
      </c>
      <c r="J468" s="3" t="s">
        <v>62</v>
      </c>
      <c r="K468" s="2" t="s">
        <v>5545</v>
      </c>
      <c r="L468" s="2" t="s">
        <v>5546</v>
      </c>
      <c r="M468" s="3" t="s">
        <v>5238</v>
      </c>
      <c r="O468" s="3" t="s">
        <v>114</v>
      </c>
      <c r="P468" s="3" t="s">
        <v>235</v>
      </c>
      <c r="R468" s="3" t="s">
        <v>68</v>
      </c>
      <c r="S468" s="4">
        <v>1</v>
      </c>
      <c r="T468" s="4">
        <v>1</v>
      </c>
      <c r="U468" s="5" t="s">
        <v>5547</v>
      </c>
      <c r="V468" s="5" t="s">
        <v>5547</v>
      </c>
      <c r="W468" s="5" t="s">
        <v>4083</v>
      </c>
      <c r="X468" s="5" t="s">
        <v>4083</v>
      </c>
      <c r="Y468" s="4">
        <v>741</v>
      </c>
      <c r="Z468" s="4">
        <v>689</v>
      </c>
      <c r="AA468" s="4">
        <v>729</v>
      </c>
      <c r="AB468" s="4">
        <v>5</v>
      </c>
      <c r="AC468" s="4">
        <v>5</v>
      </c>
      <c r="AD468" s="4">
        <v>38</v>
      </c>
      <c r="AE468" s="4">
        <v>40</v>
      </c>
      <c r="AF468" s="4">
        <v>17</v>
      </c>
      <c r="AG468" s="4">
        <v>18</v>
      </c>
      <c r="AH468" s="4">
        <v>9</v>
      </c>
      <c r="AI468" s="4">
        <v>9</v>
      </c>
      <c r="AJ468" s="4">
        <v>20</v>
      </c>
      <c r="AK468" s="4">
        <v>21</v>
      </c>
      <c r="AL468" s="4">
        <v>3</v>
      </c>
      <c r="AM468" s="4">
        <v>3</v>
      </c>
      <c r="AN468" s="4">
        <v>0</v>
      </c>
      <c r="AO468" s="4">
        <v>0</v>
      </c>
      <c r="AP468" s="3" t="s">
        <v>61</v>
      </c>
      <c r="AQ468" s="3" t="s">
        <v>59</v>
      </c>
      <c r="AR468" s="6" t="str">
        <f>HYPERLINK("http://catalog.hathitrust.org/Record/000440916","HathiTrust Record")</f>
        <v>HathiTrust Record</v>
      </c>
      <c r="AS468" s="6" t="str">
        <f>HYPERLINK("https://creighton-primo.hosted.exlibrisgroup.com/primo-explore/search?tab=default_tab&amp;search_scope=EVERYTHING&amp;vid=01CRU&amp;lang=en_US&amp;offset=0&amp;query=any,contains,991002217309702656","Catalog Record")</f>
        <v>Catalog Record</v>
      </c>
      <c r="AT468" s="6" t="str">
        <f>HYPERLINK("http://www.worldcat.org/oclc/289112","WorldCat Record")</f>
        <v>WorldCat Record</v>
      </c>
      <c r="AU468" s="3" t="s">
        <v>5548</v>
      </c>
      <c r="AV468" s="3" t="s">
        <v>5549</v>
      </c>
      <c r="AW468" s="3" t="s">
        <v>5550</v>
      </c>
      <c r="AX468" s="3" t="s">
        <v>5550</v>
      </c>
      <c r="AY468" s="3" t="s">
        <v>5551</v>
      </c>
      <c r="AZ468" s="3" t="s">
        <v>75</v>
      </c>
      <c r="BC468" s="3" t="s">
        <v>5552</v>
      </c>
      <c r="BD468" s="3" t="s">
        <v>5553</v>
      </c>
    </row>
    <row r="469" spans="1:56" ht="44.25" customHeight="1" x14ac:dyDescent="0.25">
      <c r="A469" s="7" t="s">
        <v>61</v>
      </c>
      <c r="B469" s="2" t="s">
        <v>5554</v>
      </c>
      <c r="C469" s="2" t="s">
        <v>5555</v>
      </c>
      <c r="D469" s="2" t="s">
        <v>5556</v>
      </c>
      <c r="F469" s="3" t="s">
        <v>61</v>
      </c>
      <c r="G469" s="3" t="s">
        <v>60</v>
      </c>
      <c r="H469" s="3" t="s">
        <v>61</v>
      </c>
      <c r="I469" s="3" t="s">
        <v>61</v>
      </c>
      <c r="J469" s="3" t="s">
        <v>62</v>
      </c>
      <c r="K469" s="2" t="s">
        <v>5557</v>
      </c>
      <c r="L469" s="2" t="s">
        <v>5558</v>
      </c>
      <c r="M469" s="3" t="s">
        <v>552</v>
      </c>
      <c r="O469" s="3" t="s">
        <v>114</v>
      </c>
      <c r="P469" s="3" t="s">
        <v>206</v>
      </c>
      <c r="Q469" s="2" t="s">
        <v>5559</v>
      </c>
      <c r="R469" s="3" t="s">
        <v>68</v>
      </c>
      <c r="S469" s="4">
        <v>2</v>
      </c>
      <c r="T469" s="4">
        <v>2</v>
      </c>
      <c r="U469" s="5" t="s">
        <v>5560</v>
      </c>
      <c r="V469" s="5" t="s">
        <v>5560</v>
      </c>
      <c r="W469" s="5" t="s">
        <v>5561</v>
      </c>
      <c r="X469" s="5" t="s">
        <v>5561</v>
      </c>
      <c r="Y469" s="4">
        <v>580</v>
      </c>
      <c r="Z469" s="4">
        <v>512</v>
      </c>
      <c r="AA469" s="4">
        <v>636</v>
      </c>
      <c r="AB469" s="4">
        <v>4</v>
      </c>
      <c r="AC469" s="4">
        <v>4</v>
      </c>
      <c r="AD469" s="4">
        <v>15</v>
      </c>
      <c r="AE469" s="4">
        <v>18</v>
      </c>
      <c r="AF469" s="4">
        <v>6</v>
      </c>
      <c r="AG469" s="4">
        <v>9</v>
      </c>
      <c r="AH469" s="4">
        <v>4</v>
      </c>
      <c r="AI469" s="4">
        <v>5</v>
      </c>
      <c r="AJ469" s="4">
        <v>6</v>
      </c>
      <c r="AK469" s="4">
        <v>7</v>
      </c>
      <c r="AL469" s="4">
        <v>3</v>
      </c>
      <c r="AM469" s="4">
        <v>3</v>
      </c>
      <c r="AN469" s="4">
        <v>0</v>
      </c>
      <c r="AO469" s="4">
        <v>0</v>
      </c>
      <c r="AP469" s="3" t="s">
        <v>61</v>
      </c>
      <c r="AQ469" s="3" t="s">
        <v>59</v>
      </c>
      <c r="AR469" s="6" t="str">
        <f>HYPERLINK("http://catalog.hathitrust.org/Record/001953218","HathiTrust Record")</f>
        <v>HathiTrust Record</v>
      </c>
      <c r="AS469" s="6" t="str">
        <f>HYPERLINK("https://creighton-primo.hosted.exlibrisgroup.com/primo-explore/search?tab=default_tab&amp;search_scope=EVERYTHING&amp;vid=01CRU&amp;lang=en_US&amp;offset=0&amp;query=any,contains,991001368809702656","Catalog Record")</f>
        <v>Catalog Record</v>
      </c>
      <c r="AT469" s="6" t="str">
        <f>HYPERLINK("http://www.worldcat.org/oclc/18560375","WorldCat Record")</f>
        <v>WorldCat Record</v>
      </c>
      <c r="AU469" s="3" t="s">
        <v>5562</v>
      </c>
      <c r="AV469" s="3" t="s">
        <v>5563</v>
      </c>
      <c r="AW469" s="3" t="s">
        <v>5564</v>
      </c>
      <c r="AX469" s="3" t="s">
        <v>5564</v>
      </c>
      <c r="AY469" s="3" t="s">
        <v>5565</v>
      </c>
      <c r="AZ469" s="3" t="s">
        <v>75</v>
      </c>
      <c r="BB469" s="3" t="s">
        <v>5566</v>
      </c>
      <c r="BC469" s="3" t="s">
        <v>5567</v>
      </c>
      <c r="BD469" s="3" t="s">
        <v>5568</v>
      </c>
    </row>
    <row r="470" spans="1:56" ht="44.25" customHeight="1" x14ac:dyDescent="0.25">
      <c r="A470" s="7" t="s">
        <v>61</v>
      </c>
      <c r="B470" s="2" t="s">
        <v>5569</v>
      </c>
      <c r="C470" s="2" t="s">
        <v>5570</v>
      </c>
      <c r="D470" s="2" t="s">
        <v>5571</v>
      </c>
      <c r="F470" s="3" t="s">
        <v>61</v>
      </c>
      <c r="G470" s="3" t="s">
        <v>60</v>
      </c>
      <c r="H470" s="3" t="s">
        <v>61</v>
      </c>
      <c r="I470" s="3" t="s">
        <v>61</v>
      </c>
      <c r="J470" s="3" t="s">
        <v>62</v>
      </c>
      <c r="L470" s="2" t="s">
        <v>5572</v>
      </c>
      <c r="M470" s="3" t="s">
        <v>1319</v>
      </c>
      <c r="O470" s="3" t="s">
        <v>1715</v>
      </c>
      <c r="P470" s="3" t="s">
        <v>1716</v>
      </c>
      <c r="Q470" s="2" t="s">
        <v>5573</v>
      </c>
      <c r="R470" s="3" t="s">
        <v>68</v>
      </c>
      <c r="S470" s="4">
        <v>1</v>
      </c>
      <c r="T470" s="4">
        <v>1</v>
      </c>
      <c r="U470" s="5" t="s">
        <v>872</v>
      </c>
      <c r="V470" s="5" t="s">
        <v>872</v>
      </c>
      <c r="W470" s="5" t="s">
        <v>872</v>
      </c>
      <c r="X470" s="5" t="s">
        <v>872</v>
      </c>
      <c r="Y470" s="4">
        <v>90</v>
      </c>
      <c r="Z470" s="4">
        <v>46</v>
      </c>
      <c r="AA470" s="4">
        <v>48</v>
      </c>
      <c r="AB470" s="4">
        <v>1</v>
      </c>
      <c r="AC470" s="4">
        <v>1</v>
      </c>
      <c r="AD470" s="4">
        <v>1</v>
      </c>
      <c r="AE470" s="4">
        <v>1</v>
      </c>
      <c r="AF470" s="4">
        <v>0</v>
      </c>
      <c r="AG470" s="4">
        <v>0</v>
      </c>
      <c r="AH470" s="4">
        <v>1</v>
      </c>
      <c r="AI470" s="4">
        <v>1</v>
      </c>
      <c r="AJ470" s="4">
        <v>1</v>
      </c>
      <c r="AK470" s="4">
        <v>1</v>
      </c>
      <c r="AL470" s="4">
        <v>0</v>
      </c>
      <c r="AM470" s="4">
        <v>0</v>
      </c>
      <c r="AN470" s="4">
        <v>0</v>
      </c>
      <c r="AO470" s="4">
        <v>0</v>
      </c>
      <c r="AP470" s="3" t="s">
        <v>61</v>
      </c>
      <c r="AQ470" s="3" t="s">
        <v>59</v>
      </c>
      <c r="AR470" s="6" t="str">
        <f>HYPERLINK("http://catalog.hathitrust.org/Record/000400205","HathiTrust Record")</f>
        <v>HathiTrust Record</v>
      </c>
      <c r="AS470" s="6" t="str">
        <f>HYPERLINK("https://creighton-primo.hosted.exlibrisgroup.com/primo-explore/search?tab=default_tab&amp;search_scope=EVERYTHING&amp;vid=01CRU&amp;lang=en_US&amp;offset=0&amp;query=any,contains,991003614049702656","Catalog Record")</f>
        <v>Catalog Record</v>
      </c>
      <c r="AT470" s="6" t="str">
        <f>HYPERLINK("http://www.worldcat.org/oclc/5136201","WorldCat Record")</f>
        <v>WorldCat Record</v>
      </c>
      <c r="AU470" s="3" t="s">
        <v>5574</v>
      </c>
      <c r="AV470" s="3" t="s">
        <v>5575</v>
      </c>
      <c r="AW470" s="3" t="s">
        <v>5576</v>
      </c>
      <c r="AX470" s="3" t="s">
        <v>5576</v>
      </c>
      <c r="AY470" s="3" t="s">
        <v>5577</v>
      </c>
      <c r="AZ470" s="3" t="s">
        <v>75</v>
      </c>
      <c r="BC470" s="3" t="s">
        <v>5578</v>
      </c>
      <c r="BD470" s="3" t="s">
        <v>5579</v>
      </c>
    </row>
    <row r="471" spans="1:56" ht="44.25" customHeight="1" x14ac:dyDescent="0.25">
      <c r="A471" s="7" t="s">
        <v>61</v>
      </c>
      <c r="B471" s="2" t="s">
        <v>5580</v>
      </c>
      <c r="C471" s="2" t="s">
        <v>5581</v>
      </c>
      <c r="D471" s="2" t="s">
        <v>5582</v>
      </c>
      <c r="E471" s="3" t="s">
        <v>84</v>
      </c>
      <c r="F471" s="3" t="s">
        <v>59</v>
      </c>
      <c r="G471" s="3" t="s">
        <v>60</v>
      </c>
      <c r="H471" s="3" t="s">
        <v>61</v>
      </c>
      <c r="I471" s="3" t="s">
        <v>61</v>
      </c>
      <c r="J471" s="3" t="s">
        <v>62</v>
      </c>
      <c r="K471" s="2" t="s">
        <v>5583</v>
      </c>
      <c r="L471" s="2" t="s">
        <v>5584</v>
      </c>
      <c r="M471" s="3" t="s">
        <v>966</v>
      </c>
      <c r="O471" s="3" t="s">
        <v>114</v>
      </c>
      <c r="P471" s="3" t="s">
        <v>67</v>
      </c>
      <c r="R471" s="3" t="s">
        <v>68</v>
      </c>
      <c r="S471" s="4">
        <v>3</v>
      </c>
      <c r="T471" s="4">
        <v>4</v>
      </c>
      <c r="U471" s="5" t="s">
        <v>5585</v>
      </c>
      <c r="V471" s="5" t="s">
        <v>5585</v>
      </c>
      <c r="W471" s="5" t="s">
        <v>146</v>
      </c>
      <c r="X471" s="5" t="s">
        <v>5586</v>
      </c>
      <c r="Y471" s="4">
        <v>247</v>
      </c>
      <c r="Z471" s="4">
        <v>166</v>
      </c>
      <c r="AA471" s="4">
        <v>198</v>
      </c>
      <c r="AB471" s="4">
        <v>3</v>
      </c>
      <c r="AC471" s="4">
        <v>3</v>
      </c>
      <c r="AD471" s="4">
        <v>10</v>
      </c>
      <c r="AE471" s="4">
        <v>10</v>
      </c>
      <c r="AF471" s="4">
        <v>5</v>
      </c>
      <c r="AG471" s="4">
        <v>5</v>
      </c>
      <c r="AH471" s="4">
        <v>1</v>
      </c>
      <c r="AI471" s="4">
        <v>1</v>
      </c>
      <c r="AJ471" s="4">
        <v>4</v>
      </c>
      <c r="AK471" s="4">
        <v>4</v>
      </c>
      <c r="AL471" s="4">
        <v>2</v>
      </c>
      <c r="AM471" s="4">
        <v>2</v>
      </c>
      <c r="AN471" s="4">
        <v>0</v>
      </c>
      <c r="AO471" s="4">
        <v>0</v>
      </c>
      <c r="AP471" s="3" t="s">
        <v>59</v>
      </c>
      <c r="AQ471" s="3" t="s">
        <v>61</v>
      </c>
      <c r="AR471" s="6" t="str">
        <f>HYPERLINK("http://catalog.hathitrust.org/Record/000445667","HathiTrust Record")</f>
        <v>HathiTrust Record</v>
      </c>
      <c r="AS471" s="6" t="str">
        <f>HYPERLINK("https://creighton-primo.hosted.exlibrisgroup.com/primo-explore/search?tab=default_tab&amp;search_scope=EVERYTHING&amp;vid=01CRU&amp;lang=en_US&amp;offset=0&amp;query=any,contains,991003245089702656","Catalog Record")</f>
        <v>Catalog Record</v>
      </c>
      <c r="AT471" s="6" t="str">
        <f>HYPERLINK("http://www.worldcat.org/oclc/768350","WorldCat Record")</f>
        <v>WorldCat Record</v>
      </c>
      <c r="AU471" s="3" t="s">
        <v>5587</v>
      </c>
      <c r="AV471" s="3" t="s">
        <v>5588</v>
      </c>
      <c r="AW471" s="3" t="s">
        <v>5589</v>
      </c>
      <c r="AX471" s="3" t="s">
        <v>5589</v>
      </c>
      <c r="AY471" s="3" t="s">
        <v>5590</v>
      </c>
      <c r="AZ471" s="3" t="s">
        <v>75</v>
      </c>
      <c r="BC471" s="3" t="s">
        <v>5591</v>
      </c>
      <c r="BD471" s="3" t="s">
        <v>5592</v>
      </c>
    </row>
    <row r="472" spans="1:56" ht="44.25" customHeight="1" x14ac:dyDescent="0.25">
      <c r="A472" s="7" t="s">
        <v>61</v>
      </c>
      <c r="B472" s="2" t="s">
        <v>5580</v>
      </c>
      <c r="C472" s="2" t="s">
        <v>5581</v>
      </c>
      <c r="D472" s="2" t="s">
        <v>5582</v>
      </c>
      <c r="E472" s="3" t="s">
        <v>141</v>
      </c>
      <c r="F472" s="3" t="s">
        <v>59</v>
      </c>
      <c r="G472" s="3" t="s">
        <v>60</v>
      </c>
      <c r="H472" s="3" t="s">
        <v>61</v>
      </c>
      <c r="I472" s="3" t="s">
        <v>61</v>
      </c>
      <c r="J472" s="3" t="s">
        <v>62</v>
      </c>
      <c r="K472" s="2" t="s">
        <v>5583</v>
      </c>
      <c r="L472" s="2" t="s">
        <v>5584</v>
      </c>
      <c r="M472" s="3" t="s">
        <v>966</v>
      </c>
      <c r="O472" s="3" t="s">
        <v>114</v>
      </c>
      <c r="P472" s="3" t="s">
        <v>67</v>
      </c>
      <c r="R472" s="3" t="s">
        <v>68</v>
      </c>
      <c r="S472" s="4">
        <v>1</v>
      </c>
      <c r="T472" s="4">
        <v>4</v>
      </c>
      <c r="V472" s="5" t="s">
        <v>5585</v>
      </c>
      <c r="W472" s="5" t="s">
        <v>5586</v>
      </c>
      <c r="X472" s="5" t="s">
        <v>5586</v>
      </c>
      <c r="Y472" s="4">
        <v>247</v>
      </c>
      <c r="Z472" s="4">
        <v>166</v>
      </c>
      <c r="AA472" s="4">
        <v>198</v>
      </c>
      <c r="AB472" s="4">
        <v>3</v>
      </c>
      <c r="AC472" s="4">
        <v>3</v>
      </c>
      <c r="AD472" s="4">
        <v>10</v>
      </c>
      <c r="AE472" s="4">
        <v>10</v>
      </c>
      <c r="AF472" s="4">
        <v>5</v>
      </c>
      <c r="AG472" s="4">
        <v>5</v>
      </c>
      <c r="AH472" s="4">
        <v>1</v>
      </c>
      <c r="AI472" s="4">
        <v>1</v>
      </c>
      <c r="AJ472" s="4">
        <v>4</v>
      </c>
      <c r="AK472" s="4">
        <v>4</v>
      </c>
      <c r="AL472" s="4">
        <v>2</v>
      </c>
      <c r="AM472" s="4">
        <v>2</v>
      </c>
      <c r="AN472" s="4">
        <v>0</v>
      </c>
      <c r="AO472" s="4">
        <v>0</v>
      </c>
      <c r="AP472" s="3" t="s">
        <v>59</v>
      </c>
      <c r="AQ472" s="3" t="s">
        <v>61</v>
      </c>
      <c r="AR472" s="6" t="str">
        <f>HYPERLINK("http://catalog.hathitrust.org/Record/000445667","HathiTrust Record")</f>
        <v>HathiTrust Record</v>
      </c>
      <c r="AS472" s="6" t="str">
        <f>HYPERLINK("https://creighton-primo.hosted.exlibrisgroup.com/primo-explore/search?tab=default_tab&amp;search_scope=EVERYTHING&amp;vid=01CRU&amp;lang=en_US&amp;offset=0&amp;query=any,contains,991003245089702656","Catalog Record")</f>
        <v>Catalog Record</v>
      </c>
      <c r="AT472" s="6" t="str">
        <f>HYPERLINK("http://www.worldcat.org/oclc/768350","WorldCat Record")</f>
        <v>WorldCat Record</v>
      </c>
      <c r="AU472" s="3" t="s">
        <v>5587</v>
      </c>
      <c r="AV472" s="3" t="s">
        <v>5588</v>
      </c>
      <c r="AW472" s="3" t="s">
        <v>5589</v>
      </c>
      <c r="AX472" s="3" t="s">
        <v>5589</v>
      </c>
      <c r="AY472" s="3" t="s">
        <v>5590</v>
      </c>
      <c r="AZ472" s="3" t="s">
        <v>75</v>
      </c>
      <c r="BC472" s="3" t="s">
        <v>5593</v>
      </c>
      <c r="BD472" s="3" t="s">
        <v>5594</v>
      </c>
    </row>
    <row r="473" spans="1:56" ht="44.25" customHeight="1" x14ac:dyDescent="0.25">
      <c r="A473" s="7" t="s">
        <v>61</v>
      </c>
      <c r="B473" s="2" t="s">
        <v>5595</v>
      </c>
      <c r="C473" s="2" t="s">
        <v>5596</v>
      </c>
      <c r="D473" s="2" t="s">
        <v>5597</v>
      </c>
      <c r="E473" s="3" t="s">
        <v>84</v>
      </c>
      <c r="F473" s="3" t="s">
        <v>59</v>
      </c>
      <c r="G473" s="3" t="s">
        <v>60</v>
      </c>
      <c r="H473" s="3" t="s">
        <v>61</v>
      </c>
      <c r="I473" s="3" t="s">
        <v>61</v>
      </c>
      <c r="J473" s="3" t="s">
        <v>62</v>
      </c>
      <c r="K473" s="2" t="s">
        <v>5583</v>
      </c>
      <c r="L473" s="2" t="s">
        <v>5598</v>
      </c>
      <c r="M473" s="3" t="s">
        <v>5599</v>
      </c>
      <c r="O473" s="3" t="s">
        <v>114</v>
      </c>
      <c r="P473" s="3" t="s">
        <v>235</v>
      </c>
      <c r="R473" s="3" t="s">
        <v>68</v>
      </c>
      <c r="S473" s="4">
        <v>1</v>
      </c>
      <c r="T473" s="4">
        <v>2</v>
      </c>
      <c r="U473" s="5" t="s">
        <v>5263</v>
      </c>
      <c r="V473" s="5" t="s">
        <v>5263</v>
      </c>
      <c r="W473" s="5" t="s">
        <v>4083</v>
      </c>
      <c r="X473" s="5" t="s">
        <v>4083</v>
      </c>
      <c r="Y473" s="4">
        <v>507</v>
      </c>
      <c r="Z473" s="4">
        <v>475</v>
      </c>
      <c r="AA473" s="4">
        <v>594</v>
      </c>
      <c r="AB473" s="4">
        <v>2</v>
      </c>
      <c r="AC473" s="4">
        <v>5</v>
      </c>
      <c r="AD473" s="4">
        <v>25</v>
      </c>
      <c r="AE473" s="4">
        <v>31</v>
      </c>
      <c r="AF473" s="4">
        <v>9</v>
      </c>
      <c r="AG473" s="4">
        <v>12</v>
      </c>
      <c r="AH473" s="4">
        <v>4</v>
      </c>
      <c r="AI473" s="4">
        <v>5</v>
      </c>
      <c r="AJ473" s="4">
        <v>14</v>
      </c>
      <c r="AK473" s="4">
        <v>17</v>
      </c>
      <c r="AL473" s="4">
        <v>1</v>
      </c>
      <c r="AM473" s="4">
        <v>3</v>
      </c>
      <c r="AN473" s="4">
        <v>0</v>
      </c>
      <c r="AO473" s="4">
        <v>0</v>
      </c>
      <c r="AP473" s="3" t="s">
        <v>59</v>
      </c>
      <c r="AQ473" s="3" t="s">
        <v>61</v>
      </c>
      <c r="AR473" s="6" t="str">
        <f>HYPERLINK("http://catalog.hathitrust.org/Record/000445656","HathiTrust Record")</f>
        <v>HathiTrust Record</v>
      </c>
      <c r="AS473" s="6" t="str">
        <f>HYPERLINK("https://creighton-primo.hosted.exlibrisgroup.com/primo-explore/search?tab=default_tab&amp;search_scope=EVERYTHING&amp;vid=01CRU&amp;lang=en_US&amp;offset=0&amp;query=any,contains,991003798329702656","Catalog Record")</f>
        <v>Catalog Record</v>
      </c>
      <c r="AT473" s="6" t="str">
        <f>HYPERLINK("http://www.worldcat.org/oclc/561160","WorldCat Record")</f>
        <v>WorldCat Record</v>
      </c>
      <c r="AU473" s="3" t="s">
        <v>5600</v>
      </c>
      <c r="AV473" s="3" t="s">
        <v>5601</v>
      </c>
      <c r="AW473" s="3" t="s">
        <v>5602</v>
      </c>
      <c r="AX473" s="3" t="s">
        <v>5602</v>
      </c>
      <c r="AY473" s="3" t="s">
        <v>5603</v>
      </c>
      <c r="AZ473" s="3" t="s">
        <v>75</v>
      </c>
      <c r="BC473" s="3" t="s">
        <v>5604</v>
      </c>
      <c r="BD473" s="3" t="s">
        <v>5605</v>
      </c>
    </row>
    <row r="474" spans="1:56" ht="44.25" customHeight="1" x14ac:dyDescent="0.25">
      <c r="A474" s="7" t="s">
        <v>61</v>
      </c>
      <c r="B474" s="2" t="s">
        <v>5595</v>
      </c>
      <c r="C474" s="2" t="s">
        <v>5596</v>
      </c>
      <c r="D474" s="2" t="s">
        <v>5597</v>
      </c>
      <c r="E474" s="3" t="s">
        <v>141</v>
      </c>
      <c r="F474" s="3" t="s">
        <v>59</v>
      </c>
      <c r="G474" s="3" t="s">
        <v>60</v>
      </c>
      <c r="H474" s="3" t="s">
        <v>61</v>
      </c>
      <c r="I474" s="3" t="s">
        <v>61</v>
      </c>
      <c r="J474" s="3" t="s">
        <v>62</v>
      </c>
      <c r="K474" s="2" t="s">
        <v>5583</v>
      </c>
      <c r="L474" s="2" t="s">
        <v>5598</v>
      </c>
      <c r="M474" s="3" t="s">
        <v>5599</v>
      </c>
      <c r="O474" s="3" t="s">
        <v>114</v>
      </c>
      <c r="P474" s="3" t="s">
        <v>235</v>
      </c>
      <c r="R474" s="3" t="s">
        <v>68</v>
      </c>
      <c r="S474" s="4">
        <v>1</v>
      </c>
      <c r="T474" s="4">
        <v>2</v>
      </c>
      <c r="U474" s="5" t="s">
        <v>5263</v>
      </c>
      <c r="V474" s="5" t="s">
        <v>5263</v>
      </c>
      <c r="W474" s="5" t="s">
        <v>4083</v>
      </c>
      <c r="X474" s="5" t="s">
        <v>4083</v>
      </c>
      <c r="Y474" s="4">
        <v>507</v>
      </c>
      <c r="Z474" s="4">
        <v>475</v>
      </c>
      <c r="AA474" s="4">
        <v>594</v>
      </c>
      <c r="AB474" s="4">
        <v>2</v>
      </c>
      <c r="AC474" s="4">
        <v>5</v>
      </c>
      <c r="AD474" s="4">
        <v>25</v>
      </c>
      <c r="AE474" s="4">
        <v>31</v>
      </c>
      <c r="AF474" s="4">
        <v>9</v>
      </c>
      <c r="AG474" s="4">
        <v>12</v>
      </c>
      <c r="AH474" s="4">
        <v>4</v>
      </c>
      <c r="AI474" s="4">
        <v>5</v>
      </c>
      <c r="AJ474" s="4">
        <v>14</v>
      </c>
      <c r="AK474" s="4">
        <v>17</v>
      </c>
      <c r="AL474" s="4">
        <v>1</v>
      </c>
      <c r="AM474" s="4">
        <v>3</v>
      </c>
      <c r="AN474" s="4">
        <v>0</v>
      </c>
      <c r="AO474" s="4">
        <v>0</v>
      </c>
      <c r="AP474" s="3" t="s">
        <v>59</v>
      </c>
      <c r="AQ474" s="3" t="s">
        <v>61</v>
      </c>
      <c r="AR474" s="6" t="str">
        <f>HYPERLINK("http://catalog.hathitrust.org/Record/000445656","HathiTrust Record")</f>
        <v>HathiTrust Record</v>
      </c>
      <c r="AS474" s="6" t="str">
        <f>HYPERLINK("https://creighton-primo.hosted.exlibrisgroup.com/primo-explore/search?tab=default_tab&amp;search_scope=EVERYTHING&amp;vid=01CRU&amp;lang=en_US&amp;offset=0&amp;query=any,contains,991003798329702656","Catalog Record")</f>
        <v>Catalog Record</v>
      </c>
      <c r="AT474" s="6" t="str">
        <f>HYPERLINK("http://www.worldcat.org/oclc/561160","WorldCat Record")</f>
        <v>WorldCat Record</v>
      </c>
      <c r="AU474" s="3" t="s">
        <v>5600</v>
      </c>
      <c r="AV474" s="3" t="s">
        <v>5601</v>
      </c>
      <c r="AW474" s="3" t="s">
        <v>5602</v>
      </c>
      <c r="AX474" s="3" t="s">
        <v>5602</v>
      </c>
      <c r="AY474" s="3" t="s">
        <v>5603</v>
      </c>
      <c r="AZ474" s="3" t="s">
        <v>75</v>
      </c>
      <c r="BC474" s="3" t="s">
        <v>5606</v>
      </c>
      <c r="BD474" s="3" t="s">
        <v>5607</v>
      </c>
    </row>
    <row r="475" spans="1:56" ht="44.25" customHeight="1" x14ac:dyDescent="0.25">
      <c r="A475" s="7" t="s">
        <v>61</v>
      </c>
      <c r="B475" s="2" t="s">
        <v>5608</v>
      </c>
      <c r="C475" s="2" t="s">
        <v>5609</v>
      </c>
      <c r="D475" s="2" t="s">
        <v>5610</v>
      </c>
      <c r="F475" s="3" t="s">
        <v>61</v>
      </c>
      <c r="G475" s="3" t="s">
        <v>60</v>
      </c>
      <c r="H475" s="3" t="s">
        <v>61</v>
      </c>
      <c r="I475" s="3" t="s">
        <v>61</v>
      </c>
      <c r="J475" s="3" t="s">
        <v>62</v>
      </c>
      <c r="K475" s="2" t="s">
        <v>5611</v>
      </c>
      <c r="L475" s="2" t="s">
        <v>5612</v>
      </c>
      <c r="M475" s="3" t="s">
        <v>1319</v>
      </c>
      <c r="N475" s="2" t="s">
        <v>5613</v>
      </c>
      <c r="O475" s="3" t="s">
        <v>114</v>
      </c>
      <c r="P475" s="3" t="s">
        <v>67</v>
      </c>
      <c r="R475" s="3" t="s">
        <v>68</v>
      </c>
      <c r="S475" s="4">
        <v>2</v>
      </c>
      <c r="T475" s="4">
        <v>2</v>
      </c>
      <c r="U475" s="5" t="s">
        <v>5263</v>
      </c>
      <c r="V475" s="5" t="s">
        <v>5263</v>
      </c>
      <c r="W475" s="5" t="s">
        <v>5614</v>
      </c>
      <c r="X475" s="5" t="s">
        <v>5614</v>
      </c>
      <c r="Y475" s="4">
        <v>554</v>
      </c>
      <c r="Z475" s="4">
        <v>523</v>
      </c>
      <c r="AA475" s="4">
        <v>592</v>
      </c>
      <c r="AB475" s="4">
        <v>5</v>
      </c>
      <c r="AC475" s="4">
        <v>6</v>
      </c>
      <c r="AD475" s="4">
        <v>29</v>
      </c>
      <c r="AE475" s="4">
        <v>32</v>
      </c>
      <c r="AF475" s="4">
        <v>10</v>
      </c>
      <c r="AG475" s="4">
        <v>10</v>
      </c>
      <c r="AH475" s="4">
        <v>8</v>
      </c>
      <c r="AI475" s="4">
        <v>9</v>
      </c>
      <c r="AJ475" s="4">
        <v>14</v>
      </c>
      <c r="AK475" s="4">
        <v>16</v>
      </c>
      <c r="AL475" s="4">
        <v>4</v>
      </c>
      <c r="AM475" s="4">
        <v>5</v>
      </c>
      <c r="AN475" s="4">
        <v>0</v>
      </c>
      <c r="AO475" s="4">
        <v>0</v>
      </c>
      <c r="AP475" s="3" t="s">
        <v>61</v>
      </c>
      <c r="AQ475" s="3" t="s">
        <v>59</v>
      </c>
      <c r="AR475" s="6" t="str">
        <f>HYPERLINK("http://catalog.hathitrust.org/Record/000403328","HathiTrust Record")</f>
        <v>HathiTrust Record</v>
      </c>
      <c r="AS475" s="6" t="str">
        <f>HYPERLINK("https://creighton-primo.hosted.exlibrisgroup.com/primo-explore/search?tab=default_tab&amp;search_scope=EVERYTHING&amp;vid=01CRU&amp;lang=en_US&amp;offset=0&amp;query=any,contains,991003546879702656","Catalog Record")</f>
        <v>Catalog Record</v>
      </c>
      <c r="AT475" s="6" t="str">
        <f>HYPERLINK("http://www.worldcat.org/oclc/1113487","WorldCat Record")</f>
        <v>WorldCat Record</v>
      </c>
      <c r="AU475" s="3" t="s">
        <v>5615</v>
      </c>
      <c r="AV475" s="3" t="s">
        <v>5616</v>
      </c>
      <c r="AW475" s="3" t="s">
        <v>5617</v>
      </c>
      <c r="AX475" s="3" t="s">
        <v>5617</v>
      </c>
      <c r="AY475" s="3" t="s">
        <v>5618</v>
      </c>
      <c r="AZ475" s="3" t="s">
        <v>75</v>
      </c>
      <c r="BC475" s="3" t="s">
        <v>5619</v>
      </c>
      <c r="BD475" s="3" t="s">
        <v>5620</v>
      </c>
    </row>
    <row r="476" spans="1:56" ht="44.25" customHeight="1" x14ac:dyDescent="0.25">
      <c r="A476" s="7" t="s">
        <v>61</v>
      </c>
      <c r="B476" s="2" t="s">
        <v>5621</v>
      </c>
      <c r="C476" s="2" t="s">
        <v>5622</v>
      </c>
      <c r="D476" s="2" t="s">
        <v>5623</v>
      </c>
      <c r="F476" s="3" t="s">
        <v>61</v>
      </c>
      <c r="G476" s="3" t="s">
        <v>60</v>
      </c>
      <c r="H476" s="3" t="s">
        <v>61</v>
      </c>
      <c r="I476" s="3" t="s">
        <v>61</v>
      </c>
      <c r="J476" s="3" t="s">
        <v>62</v>
      </c>
      <c r="K476" s="2" t="s">
        <v>5624</v>
      </c>
      <c r="L476" s="2" t="s">
        <v>5625</v>
      </c>
      <c r="M476" s="3" t="s">
        <v>5050</v>
      </c>
      <c r="O476" s="3" t="s">
        <v>114</v>
      </c>
      <c r="P476" s="3" t="s">
        <v>235</v>
      </c>
      <c r="R476" s="3" t="s">
        <v>68</v>
      </c>
      <c r="S476" s="4">
        <v>2</v>
      </c>
      <c r="T476" s="4">
        <v>2</v>
      </c>
      <c r="U476" s="5" t="s">
        <v>5585</v>
      </c>
      <c r="V476" s="5" t="s">
        <v>5585</v>
      </c>
      <c r="W476" s="5" t="s">
        <v>146</v>
      </c>
      <c r="X476" s="5" t="s">
        <v>146</v>
      </c>
      <c r="Y476" s="4">
        <v>222</v>
      </c>
      <c r="Z476" s="4">
        <v>211</v>
      </c>
      <c r="AA476" s="4">
        <v>228</v>
      </c>
      <c r="AB476" s="4">
        <v>3</v>
      </c>
      <c r="AC476" s="4">
        <v>3</v>
      </c>
      <c r="AD476" s="4">
        <v>12</v>
      </c>
      <c r="AE476" s="4">
        <v>12</v>
      </c>
      <c r="AF476" s="4">
        <v>2</v>
      </c>
      <c r="AG476" s="4">
        <v>2</v>
      </c>
      <c r="AH476" s="4">
        <v>3</v>
      </c>
      <c r="AI476" s="4">
        <v>3</v>
      </c>
      <c r="AJ476" s="4">
        <v>7</v>
      </c>
      <c r="AK476" s="4">
        <v>7</v>
      </c>
      <c r="AL476" s="4">
        <v>2</v>
      </c>
      <c r="AM476" s="4">
        <v>2</v>
      </c>
      <c r="AN476" s="4">
        <v>0</v>
      </c>
      <c r="AO476" s="4">
        <v>0</v>
      </c>
      <c r="AP476" s="3" t="s">
        <v>59</v>
      </c>
      <c r="AQ476" s="3" t="s">
        <v>61</v>
      </c>
      <c r="AR476" s="6" t="str">
        <f>HYPERLINK("http://catalog.hathitrust.org/Record/000446263","HathiTrust Record")</f>
        <v>HathiTrust Record</v>
      </c>
      <c r="AS476" s="6" t="str">
        <f>HYPERLINK("https://creighton-primo.hosted.exlibrisgroup.com/primo-explore/search?tab=default_tab&amp;search_scope=EVERYTHING&amp;vid=01CRU&amp;lang=en_US&amp;offset=0&amp;query=any,contains,991003577739702656","Catalog Record")</f>
        <v>Catalog Record</v>
      </c>
      <c r="AT476" s="6" t="str">
        <f>HYPERLINK("http://www.worldcat.org/oclc/1157465","WorldCat Record")</f>
        <v>WorldCat Record</v>
      </c>
      <c r="AU476" s="3" t="s">
        <v>5626</v>
      </c>
      <c r="AV476" s="3" t="s">
        <v>5627</v>
      </c>
      <c r="AW476" s="3" t="s">
        <v>5628</v>
      </c>
      <c r="AX476" s="3" t="s">
        <v>5628</v>
      </c>
      <c r="AY476" s="3" t="s">
        <v>5629</v>
      </c>
      <c r="AZ476" s="3" t="s">
        <v>75</v>
      </c>
      <c r="BC476" s="3" t="s">
        <v>5630</v>
      </c>
      <c r="BD476" s="3" t="s">
        <v>5631</v>
      </c>
    </row>
    <row r="477" spans="1:56" ht="44.25" customHeight="1" x14ac:dyDescent="0.25">
      <c r="A477" s="7" t="s">
        <v>61</v>
      </c>
      <c r="B477" s="2" t="s">
        <v>5632</v>
      </c>
      <c r="C477" s="2" t="s">
        <v>5633</v>
      </c>
      <c r="D477" s="2" t="s">
        <v>5634</v>
      </c>
      <c r="F477" s="3" t="s">
        <v>61</v>
      </c>
      <c r="G477" s="3" t="s">
        <v>60</v>
      </c>
      <c r="H477" s="3" t="s">
        <v>61</v>
      </c>
      <c r="I477" s="3" t="s">
        <v>61</v>
      </c>
      <c r="J477" s="3" t="s">
        <v>62</v>
      </c>
      <c r="K477" s="2" t="s">
        <v>5635</v>
      </c>
      <c r="L477" s="2" t="s">
        <v>5636</v>
      </c>
      <c r="M477" s="3" t="s">
        <v>5599</v>
      </c>
      <c r="O477" s="3" t="s">
        <v>114</v>
      </c>
      <c r="P477" s="3" t="s">
        <v>235</v>
      </c>
      <c r="R477" s="3" t="s">
        <v>68</v>
      </c>
      <c r="S477" s="4">
        <v>3</v>
      </c>
      <c r="T477" s="4">
        <v>3</v>
      </c>
      <c r="U477" s="5" t="s">
        <v>5637</v>
      </c>
      <c r="V477" s="5" t="s">
        <v>5637</v>
      </c>
      <c r="W477" s="5" t="s">
        <v>4083</v>
      </c>
      <c r="X477" s="5" t="s">
        <v>4083</v>
      </c>
      <c r="Y477" s="4">
        <v>188</v>
      </c>
      <c r="Z477" s="4">
        <v>185</v>
      </c>
      <c r="AA477" s="4">
        <v>198</v>
      </c>
      <c r="AB477" s="4">
        <v>4</v>
      </c>
      <c r="AC477" s="4">
        <v>4</v>
      </c>
      <c r="AD477" s="4">
        <v>23</v>
      </c>
      <c r="AE477" s="4">
        <v>23</v>
      </c>
      <c r="AF477" s="4">
        <v>5</v>
      </c>
      <c r="AG477" s="4">
        <v>5</v>
      </c>
      <c r="AH477" s="4">
        <v>5</v>
      </c>
      <c r="AI477" s="4">
        <v>5</v>
      </c>
      <c r="AJ477" s="4">
        <v>16</v>
      </c>
      <c r="AK477" s="4">
        <v>16</v>
      </c>
      <c r="AL477" s="4">
        <v>3</v>
      </c>
      <c r="AM477" s="4">
        <v>3</v>
      </c>
      <c r="AN477" s="4">
        <v>0</v>
      </c>
      <c r="AO477" s="4">
        <v>0</v>
      </c>
      <c r="AP477" s="3" t="s">
        <v>59</v>
      </c>
      <c r="AQ477" s="3" t="s">
        <v>61</v>
      </c>
      <c r="AR477" s="6" t="str">
        <f>HYPERLINK("http://catalog.hathitrust.org/Record/000485972","HathiTrust Record")</f>
        <v>HathiTrust Record</v>
      </c>
      <c r="AS477" s="6" t="str">
        <f>HYPERLINK("https://creighton-primo.hosted.exlibrisgroup.com/primo-explore/search?tab=default_tab&amp;search_scope=EVERYTHING&amp;vid=01CRU&amp;lang=en_US&amp;offset=0&amp;query=any,contains,991002462429702656","Catalog Record")</f>
        <v>Catalog Record</v>
      </c>
      <c r="AT477" s="6" t="str">
        <f>HYPERLINK("http://www.worldcat.org/oclc/356389","WorldCat Record")</f>
        <v>WorldCat Record</v>
      </c>
      <c r="AU477" s="3" t="s">
        <v>5638</v>
      </c>
      <c r="AV477" s="3" t="s">
        <v>5639</v>
      </c>
      <c r="AW477" s="3" t="s">
        <v>5640</v>
      </c>
      <c r="AX477" s="3" t="s">
        <v>5640</v>
      </c>
      <c r="AY477" s="3" t="s">
        <v>5641</v>
      </c>
      <c r="AZ477" s="3" t="s">
        <v>75</v>
      </c>
      <c r="BC477" s="3" t="s">
        <v>5642</v>
      </c>
      <c r="BD477" s="3" t="s">
        <v>5643</v>
      </c>
    </row>
    <row r="478" spans="1:56" ht="44.25" customHeight="1" x14ac:dyDescent="0.25">
      <c r="A478" s="7" t="s">
        <v>61</v>
      </c>
      <c r="B478" s="2" t="s">
        <v>5644</v>
      </c>
      <c r="C478" s="2" t="s">
        <v>5645</v>
      </c>
      <c r="D478" s="2" t="s">
        <v>5646</v>
      </c>
      <c r="F478" s="3" t="s">
        <v>61</v>
      </c>
      <c r="G478" s="3" t="s">
        <v>60</v>
      </c>
      <c r="H478" s="3" t="s">
        <v>61</v>
      </c>
      <c r="I478" s="3" t="s">
        <v>61</v>
      </c>
      <c r="J478" s="3" t="s">
        <v>62</v>
      </c>
      <c r="K478" s="2" t="s">
        <v>5647</v>
      </c>
      <c r="L478" s="2" t="s">
        <v>5648</v>
      </c>
      <c r="M478" s="3" t="s">
        <v>966</v>
      </c>
      <c r="O478" s="3" t="s">
        <v>114</v>
      </c>
      <c r="P478" s="3" t="s">
        <v>235</v>
      </c>
      <c r="R478" s="3" t="s">
        <v>68</v>
      </c>
      <c r="S478" s="4">
        <v>1</v>
      </c>
      <c r="T478" s="4">
        <v>1</v>
      </c>
      <c r="U478" s="5" t="s">
        <v>1787</v>
      </c>
      <c r="V478" s="5" t="s">
        <v>1787</v>
      </c>
      <c r="W478" s="5" t="s">
        <v>4083</v>
      </c>
      <c r="X478" s="5" t="s">
        <v>4083</v>
      </c>
      <c r="Y478" s="4">
        <v>217</v>
      </c>
      <c r="Z478" s="4">
        <v>198</v>
      </c>
      <c r="AA478" s="4">
        <v>223</v>
      </c>
      <c r="AB478" s="4">
        <v>2</v>
      </c>
      <c r="AC478" s="4">
        <v>2</v>
      </c>
      <c r="AD478" s="4">
        <v>12</v>
      </c>
      <c r="AE478" s="4">
        <v>15</v>
      </c>
      <c r="AF478" s="4">
        <v>4</v>
      </c>
      <c r="AG478" s="4">
        <v>6</v>
      </c>
      <c r="AH478" s="4">
        <v>3</v>
      </c>
      <c r="AI478" s="4">
        <v>5</v>
      </c>
      <c r="AJ478" s="4">
        <v>7</v>
      </c>
      <c r="AK478" s="4">
        <v>7</v>
      </c>
      <c r="AL478" s="4">
        <v>1</v>
      </c>
      <c r="AM478" s="4">
        <v>1</v>
      </c>
      <c r="AN478" s="4">
        <v>0</v>
      </c>
      <c r="AO478" s="4">
        <v>0</v>
      </c>
      <c r="AP478" s="3" t="s">
        <v>59</v>
      </c>
      <c r="AQ478" s="3" t="s">
        <v>61</v>
      </c>
      <c r="AR478" s="6" t="str">
        <f>HYPERLINK("http://catalog.hathitrust.org/Record/000442719","HathiTrust Record")</f>
        <v>HathiTrust Record</v>
      </c>
      <c r="AS478" s="6" t="str">
        <f>HYPERLINK("https://creighton-primo.hosted.exlibrisgroup.com/primo-explore/search?tab=default_tab&amp;search_scope=EVERYTHING&amp;vid=01CRU&amp;lang=en_US&amp;offset=0&amp;query=any,contains,991003133369702656","Catalog Record")</f>
        <v>Catalog Record</v>
      </c>
      <c r="AT478" s="6" t="str">
        <f>HYPERLINK("http://www.worldcat.org/oclc/675868","WorldCat Record")</f>
        <v>WorldCat Record</v>
      </c>
      <c r="AU478" s="3" t="s">
        <v>5649</v>
      </c>
      <c r="AV478" s="3" t="s">
        <v>5650</v>
      </c>
      <c r="AW478" s="3" t="s">
        <v>5651</v>
      </c>
      <c r="AX478" s="3" t="s">
        <v>5651</v>
      </c>
      <c r="AY478" s="3" t="s">
        <v>5652</v>
      </c>
      <c r="AZ478" s="3" t="s">
        <v>75</v>
      </c>
      <c r="BC478" s="3" t="s">
        <v>5653</v>
      </c>
      <c r="BD478" s="3" t="s">
        <v>5654</v>
      </c>
    </row>
    <row r="479" spans="1:56" ht="44.25" customHeight="1" x14ac:dyDescent="0.25">
      <c r="A479" s="7" t="s">
        <v>61</v>
      </c>
      <c r="B479" s="2" t="s">
        <v>5655</v>
      </c>
      <c r="C479" s="2" t="s">
        <v>5656</v>
      </c>
      <c r="D479" s="2" t="s">
        <v>5657</v>
      </c>
      <c r="F479" s="3" t="s">
        <v>61</v>
      </c>
      <c r="G479" s="3" t="s">
        <v>60</v>
      </c>
      <c r="H479" s="3" t="s">
        <v>61</v>
      </c>
      <c r="I479" s="3" t="s">
        <v>61</v>
      </c>
      <c r="J479" s="3" t="s">
        <v>62</v>
      </c>
      <c r="K479" s="2" t="s">
        <v>5658</v>
      </c>
      <c r="L479" s="2" t="s">
        <v>5659</v>
      </c>
      <c r="M479" s="3" t="s">
        <v>220</v>
      </c>
      <c r="N479" s="2" t="s">
        <v>634</v>
      </c>
      <c r="O479" s="3" t="s">
        <v>114</v>
      </c>
      <c r="P479" s="3" t="s">
        <v>235</v>
      </c>
      <c r="R479" s="3" t="s">
        <v>68</v>
      </c>
      <c r="S479" s="4">
        <v>3</v>
      </c>
      <c r="T479" s="4">
        <v>3</v>
      </c>
      <c r="U479" s="5" t="s">
        <v>5660</v>
      </c>
      <c r="V479" s="5" t="s">
        <v>5660</v>
      </c>
      <c r="W479" s="5" t="s">
        <v>5661</v>
      </c>
      <c r="X479" s="5" t="s">
        <v>5661</v>
      </c>
      <c r="Y479" s="4">
        <v>870</v>
      </c>
      <c r="Z479" s="4">
        <v>823</v>
      </c>
      <c r="AA479" s="4">
        <v>905</v>
      </c>
      <c r="AB479" s="4">
        <v>6</v>
      </c>
      <c r="AC479" s="4">
        <v>7</v>
      </c>
      <c r="AD479" s="4">
        <v>23</v>
      </c>
      <c r="AE479" s="4">
        <v>24</v>
      </c>
      <c r="AF479" s="4">
        <v>8</v>
      </c>
      <c r="AG479" s="4">
        <v>8</v>
      </c>
      <c r="AH479" s="4">
        <v>5</v>
      </c>
      <c r="AI479" s="4">
        <v>5</v>
      </c>
      <c r="AJ479" s="4">
        <v>10</v>
      </c>
      <c r="AK479" s="4">
        <v>10</v>
      </c>
      <c r="AL479" s="4">
        <v>4</v>
      </c>
      <c r="AM479" s="4">
        <v>5</v>
      </c>
      <c r="AN479" s="4">
        <v>0</v>
      </c>
      <c r="AO479" s="4">
        <v>0</v>
      </c>
      <c r="AP479" s="3" t="s">
        <v>61</v>
      </c>
      <c r="AQ479" s="3" t="s">
        <v>59</v>
      </c>
      <c r="AR479" s="6" t="str">
        <f>HYPERLINK("http://catalog.hathitrust.org/Record/004286930","HathiTrust Record")</f>
        <v>HathiTrust Record</v>
      </c>
      <c r="AS479" s="6" t="str">
        <f>HYPERLINK("https://creighton-primo.hosted.exlibrisgroup.com/primo-explore/search?tab=default_tab&amp;search_scope=EVERYTHING&amp;vid=01CRU&amp;lang=en_US&amp;offset=0&amp;query=any,contains,991003767379702656","Catalog Record")</f>
        <v>Catalog Record</v>
      </c>
      <c r="AT479" s="6" t="str">
        <f>HYPERLINK("http://www.worldcat.org/oclc/49285550","WorldCat Record")</f>
        <v>WorldCat Record</v>
      </c>
      <c r="AU479" s="3" t="s">
        <v>5662</v>
      </c>
      <c r="AV479" s="3" t="s">
        <v>5663</v>
      </c>
      <c r="AW479" s="3" t="s">
        <v>5664</v>
      </c>
      <c r="AX479" s="3" t="s">
        <v>5664</v>
      </c>
      <c r="AY479" s="3" t="s">
        <v>5665</v>
      </c>
      <c r="AZ479" s="3" t="s">
        <v>75</v>
      </c>
      <c r="BB479" s="3" t="s">
        <v>5666</v>
      </c>
      <c r="BC479" s="3" t="s">
        <v>5667</v>
      </c>
      <c r="BD479" s="3" t="s">
        <v>5668</v>
      </c>
    </row>
    <row r="480" spans="1:56" ht="44.25" customHeight="1" x14ac:dyDescent="0.25">
      <c r="A480" s="7" t="s">
        <v>61</v>
      </c>
      <c r="B480" s="2" t="s">
        <v>5669</v>
      </c>
      <c r="C480" s="2" t="s">
        <v>5670</v>
      </c>
      <c r="D480" s="2" t="s">
        <v>5671</v>
      </c>
      <c r="F480" s="3" t="s">
        <v>61</v>
      </c>
      <c r="G480" s="3" t="s">
        <v>60</v>
      </c>
      <c r="H480" s="3" t="s">
        <v>61</v>
      </c>
      <c r="I480" s="3" t="s">
        <v>61</v>
      </c>
      <c r="J480" s="3" t="s">
        <v>62</v>
      </c>
      <c r="K480" s="2" t="s">
        <v>5672</v>
      </c>
      <c r="L480" s="2" t="s">
        <v>5673</v>
      </c>
      <c r="M480" s="3" t="s">
        <v>2391</v>
      </c>
      <c r="O480" s="3" t="s">
        <v>114</v>
      </c>
      <c r="P480" s="3" t="s">
        <v>192</v>
      </c>
      <c r="Q480" s="2" t="s">
        <v>5674</v>
      </c>
      <c r="R480" s="3" t="s">
        <v>68</v>
      </c>
      <c r="S480" s="4">
        <v>3</v>
      </c>
      <c r="T480" s="4">
        <v>3</v>
      </c>
      <c r="U480" s="5" t="s">
        <v>5675</v>
      </c>
      <c r="V480" s="5" t="s">
        <v>5675</v>
      </c>
      <c r="W480" s="5" t="s">
        <v>5676</v>
      </c>
      <c r="X480" s="5" t="s">
        <v>5676</v>
      </c>
      <c r="Y480" s="4">
        <v>204</v>
      </c>
      <c r="Z480" s="4">
        <v>151</v>
      </c>
      <c r="AA480" s="4">
        <v>174</v>
      </c>
      <c r="AB480" s="4">
        <v>1</v>
      </c>
      <c r="AC480" s="4">
        <v>1</v>
      </c>
      <c r="AD480" s="4">
        <v>10</v>
      </c>
      <c r="AE480" s="4">
        <v>10</v>
      </c>
      <c r="AF480" s="4">
        <v>2</v>
      </c>
      <c r="AG480" s="4">
        <v>2</v>
      </c>
      <c r="AH480" s="4">
        <v>5</v>
      </c>
      <c r="AI480" s="4">
        <v>5</v>
      </c>
      <c r="AJ480" s="4">
        <v>7</v>
      </c>
      <c r="AK480" s="4">
        <v>7</v>
      </c>
      <c r="AL480" s="4">
        <v>0</v>
      </c>
      <c r="AM480" s="4">
        <v>0</v>
      </c>
      <c r="AN480" s="4">
        <v>0</v>
      </c>
      <c r="AO480" s="4">
        <v>0</v>
      </c>
      <c r="AP480" s="3" t="s">
        <v>61</v>
      </c>
      <c r="AQ480" s="3" t="s">
        <v>61</v>
      </c>
      <c r="AS480" s="6" t="str">
        <f>HYPERLINK("https://creighton-primo.hosted.exlibrisgroup.com/primo-explore/search?tab=default_tab&amp;search_scope=EVERYTHING&amp;vid=01CRU&amp;lang=en_US&amp;offset=0&amp;query=any,contains,991003761339702656","Catalog Record")</f>
        <v>Catalog Record</v>
      </c>
      <c r="AT480" s="6" t="str">
        <f>HYPERLINK("http://www.worldcat.org/oclc/44914198","WorldCat Record")</f>
        <v>WorldCat Record</v>
      </c>
      <c r="AU480" s="3" t="s">
        <v>5677</v>
      </c>
      <c r="AV480" s="3" t="s">
        <v>5678</v>
      </c>
      <c r="AW480" s="3" t="s">
        <v>5679</v>
      </c>
      <c r="AX480" s="3" t="s">
        <v>5679</v>
      </c>
      <c r="AY480" s="3" t="s">
        <v>5680</v>
      </c>
      <c r="AZ480" s="3" t="s">
        <v>75</v>
      </c>
      <c r="BB480" s="3" t="s">
        <v>5681</v>
      </c>
      <c r="BC480" s="3" t="s">
        <v>5682</v>
      </c>
      <c r="BD480" s="3" t="s">
        <v>5683</v>
      </c>
    </row>
    <row r="481" spans="1:56" ht="44.25" customHeight="1" x14ac:dyDescent="0.25">
      <c r="A481" s="7" t="s">
        <v>61</v>
      </c>
      <c r="B481" s="2" t="s">
        <v>5684</v>
      </c>
      <c r="C481" s="2" t="s">
        <v>5685</v>
      </c>
      <c r="D481" s="2" t="s">
        <v>5686</v>
      </c>
      <c r="F481" s="3" t="s">
        <v>61</v>
      </c>
      <c r="G481" s="3" t="s">
        <v>60</v>
      </c>
      <c r="H481" s="3" t="s">
        <v>61</v>
      </c>
      <c r="I481" s="3" t="s">
        <v>61</v>
      </c>
      <c r="J481" s="3" t="s">
        <v>62</v>
      </c>
      <c r="K481" s="2" t="s">
        <v>5687</v>
      </c>
      <c r="L481" s="2" t="s">
        <v>5688</v>
      </c>
      <c r="M481" s="3" t="s">
        <v>334</v>
      </c>
      <c r="O481" s="3" t="s">
        <v>114</v>
      </c>
      <c r="P481" s="3" t="s">
        <v>192</v>
      </c>
      <c r="R481" s="3" t="s">
        <v>68</v>
      </c>
      <c r="S481" s="4">
        <v>2</v>
      </c>
      <c r="T481" s="4">
        <v>2</v>
      </c>
      <c r="U481" s="5" t="s">
        <v>5689</v>
      </c>
      <c r="V481" s="5" t="s">
        <v>5689</v>
      </c>
      <c r="W481" s="5" t="s">
        <v>5690</v>
      </c>
      <c r="X481" s="5" t="s">
        <v>5690</v>
      </c>
      <c r="Y481" s="4">
        <v>385</v>
      </c>
      <c r="Z481" s="4">
        <v>259</v>
      </c>
      <c r="AA481" s="4">
        <v>267</v>
      </c>
      <c r="AB481" s="4">
        <v>3</v>
      </c>
      <c r="AC481" s="4">
        <v>3</v>
      </c>
      <c r="AD481" s="4">
        <v>17</v>
      </c>
      <c r="AE481" s="4">
        <v>17</v>
      </c>
      <c r="AF481" s="4">
        <v>6</v>
      </c>
      <c r="AG481" s="4">
        <v>6</v>
      </c>
      <c r="AH481" s="4">
        <v>5</v>
      </c>
      <c r="AI481" s="4">
        <v>5</v>
      </c>
      <c r="AJ481" s="4">
        <v>10</v>
      </c>
      <c r="AK481" s="4">
        <v>10</v>
      </c>
      <c r="AL481" s="4">
        <v>2</v>
      </c>
      <c r="AM481" s="4">
        <v>2</v>
      </c>
      <c r="AN481" s="4">
        <v>0</v>
      </c>
      <c r="AO481" s="4">
        <v>0</v>
      </c>
      <c r="AP481" s="3" t="s">
        <v>61</v>
      </c>
      <c r="AQ481" s="3" t="s">
        <v>59</v>
      </c>
      <c r="AR481" s="6" t="str">
        <f>HYPERLINK("http://catalog.hathitrust.org/Record/000882254","HathiTrust Record")</f>
        <v>HathiTrust Record</v>
      </c>
      <c r="AS481" s="6" t="str">
        <f>HYPERLINK("https://creighton-primo.hosted.exlibrisgroup.com/primo-explore/search?tab=default_tab&amp;search_scope=EVERYTHING&amp;vid=01CRU&amp;lang=en_US&amp;offset=0&amp;query=any,contains,991001014249702656","Catalog Record")</f>
        <v>Catalog Record</v>
      </c>
      <c r="AT481" s="6" t="str">
        <f>HYPERLINK("http://www.worldcat.org/oclc/15316345","WorldCat Record")</f>
        <v>WorldCat Record</v>
      </c>
      <c r="AU481" s="3" t="s">
        <v>5691</v>
      </c>
      <c r="AV481" s="3" t="s">
        <v>5692</v>
      </c>
      <c r="AW481" s="3" t="s">
        <v>5693</v>
      </c>
      <c r="AX481" s="3" t="s">
        <v>5693</v>
      </c>
      <c r="AY481" s="3" t="s">
        <v>5694</v>
      </c>
      <c r="AZ481" s="3" t="s">
        <v>75</v>
      </c>
      <c r="BB481" s="3" t="s">
        <v>5695</v>
      </c>
      <c r="BC481" s="3" t="s">
        <v>5696</v>
      </c>
      <c r="BD481" s="3" t="s">
        <v>5697</v>
      </c>
    </row>
    <row r="482" spans="1:56" ht="44.25" customHeight="1" x14ac:dyDescent="0.25">
      <c r="A482" s="7" t="s">
        <v>61</v>
      </c>
      <c r="B482" s="2" t="s">
        <v>5698</v>
      </c>
      <c r="C482" s="2" t="s">
        <v>5699</v>
      </c>
      <c r="D482" s="2" t="s">
        <v>5700</v>
      </c>
      <c r="F482" s="3" t="s">
        <v>61</v>
      </c>
      <c r="G482" s="3" t="s">
        <v>60</v>
      </c>
      <c r="H482" s="3" t="s">
        <v>61</v>
      </c>
      <c r="I482" s="3" t="s">
        <v>61</v>
      </c>
      <c r="J482" s="3" t="s">
        <v>62</v>
      </c>
      <c r="K482" s="2" t="s">
        <v>5701</v>
      </c>
      <c r="L482" s="2" t="s">
        <v>5702</v>
      </c>
      <c r="M482" s="3" t="s">
        <v>5123</v>
      </c>
      <c r="O482" s="3" t="s">
        <v>114</v>
      </c>
      <c r="P482" s="3" t="s">
        <v>192</v>
      </c>
      <c r="R482" s="3" t="s">
        <v>68</v>
      </c>
      <c r="S482" s="4">
        <v>3</v>
      </c>
      <c r="T482" s="4">
        <v>3</v>
      </c>
      <c r="U482" s="5" t="s">
        <v>3902</v>
      </c>
      <c r="V482" s="5" t="s">
        <v>3902</v>
      </c>
      <c r="W482" s="5" t="s">
        <v>4083</v>
      </c>
      <c r="X482" s="5" t="s">
        <v>4083</v>
      </c>
      <c r="Y482" s="4">
        <v>310</v>
      </c>
      <c r="Z482" s="4">
        <v>262</v>
      </c>
      <c r="AA482" s="4">
        <v>291</v>
      </c>
      <c r="AB482" s="4">
        <v>3</v>
      </c>
      <c r="AC482" s="4">
        <v>3</v>
      </c>
      <c r="AD482" s="4">
        <v>19</v>
      </c>
      <c r="AE482" s="4">
        <v>19</v>
      </c>
      <c r="AF482" s="4">
        <v>6</v>
      </c>
      <c r="AG482" s="4">
        <v>6</v>
      </c>
      <c r="AH482" s="4">
        <v>6</v>
      </c>
      <c r="AI482" s="4">
        <v>6</v>
      </c>
      <c r="AJ482" s="4">
        <v>9</v>
      </c>
      <c r="AK482" s="4">
        <v>9</v>
      </c>
      <c r="AL482" s="4">
        <v>2</v>
      </c>
      <c r="AM482" s="4">
        <v>2</v>
      </c>
      <c r="AN482" s="4">
        <v>0</v>
      </c>
      <c r="AO482" s="4">
        <v>0</v>
      </c>
      <c r="AP482" s="3" t="s">
        <v>59</v>
      </c>
      <c r="AQ482" s="3" t="s">
        <v>61</v>
      </c>
      <c r="AR482" s="6" t="str">
        <f>HYPERLINK("http://catalog.hathitrust.org/Record/000443784","HathiTrust Record")</f>
        <v>HathiTrust Record</v>
      </c>
      <c r="AS482" s="6" t="str">
        <f>HYPERLINK("https://creighton-primo.hosted.exlibrisgroup.com/primo-explore/search?tab=default_tab&amp;search_scope=EVERYTHING&amp;vid=01CRU&amp;lang=en_US&amp;offset=0&amp;query=any,contains,991003578639702656","Catalog Record")</f>
        <v>Catalog Record</v>
      </c>
      <c r="AT482" s="6" t="str">
        <f>HYPERLINK("http://www.worldcat.org/oclc/1158948","WorldCat Record")</f>
        <v>WorldCat Record</v>
      </c>
      <c r="AU482" s="3" t="s">
        <v>5703</v>
      </c>
      <c r="AV482" s="3" t="s">
        <v>5704</v>
      </c>
      <c r="AW482" s="3" t="s">
        <v>5705</v>
      </c>
      <c r="AX482" s="3" t="s">
        <v>5705</v>
      </c>
      <c r="AY482" s="3" t="s">
        <v>5706</v>
      </c>
      <c r="AZ482" s="3" t="s">
        <v>75</v>
      </c>
      <c r="BC482" s="3" t="s">
        <v>5707</v>
      </c>
      <c r="BD482" s="3" t="s">
        <v>5708</v>
      </c>
    </row>
    <row r="483" spans="1:56" ht="44.25" customHeight="1" x14ac:dyDescent="0.25">
      <c r="A483" s="7" t="s">
        <v>61</v>
      </c>
      <c r="B483" s="2" t="s">
        <v>5709</v>
      </c>
      <c r="C483" s="2" t="s">
        <v>5710</v>
      </c>
      <c r="D483" s="2" t="s">
        <v>5711</v>
      </c>
      <c r="F483" s="3" t="s">
        <v>61</v>
      </c>
      <c r="G483" s="3" t="s">
        <v>60</v>
      </c>
      <c r="H483" s="3" t="s">
        <v>61</v>
      </c>
      <c r="I483" s="3" t="s">
        <v>61</v>
      </c>
      <c r="J483" s="3" t="s">
        <v>62</v>
      </c>
      <c r="K483" s="2" t="s">
        <v>5712</v>
      </c>
      <c r="L483" s="2" t="s">
        <v>5713</v>
      </c>
      <c r="M483" s="3" t="s">
        <v>220</v>
      </c>
      <c r="N483" s="2" t="s">
        <v>679</v>
      </c>
      <c r="O483" s="3" t="s">
        <v>114</v>
      </c>
      <c r="P483" s="3" t="s">
        <v>235</v>
      </c>
      <c r="R483" s="3" t="s">
        <v>68</v>
      </c>
      <c r="S483" s="4">
        <v>2</v>
      </c>
      <c r="T483" s="4">
        <v>2</v>
      </c>
      <c r="U483" s="5" t="s">
        <v>4952</v>
      </c>
      <c r="V483" s="5" t="s">
        <v>4952</v>
      </c>
      <c r="W483" s="5" t="s">
        <v>5714</v>
      </c>
      <c r="X483" s="5" t="s">
        <v>5714</v>
      </c>
      <c r="Y483" s="4">
        <v>1189</v>
      </c>
      <c r="Z483" s="4">
        <v>1088</v>
      </c>
      <c r="AA483" s="4">
        <v>1192</v>
      </c>
      <c r="AB483" s="4">
        <v>9</v>
      </c>
      <c r="AC483" s="4">
        <v>9</v>
      </c>
      <c r="AD483" s="4">
        <v>33</v>
      </c>
      <c r="AE483" s="4">
        <v>37</v>
      </c>
      <c r="AF483" s="4">
        <v>14</v>
      </c>
      <c r="AG483" s="4">
        <v>17</v>
      </c>
      <c r="AH483" s="4">
        <v>6</v>
      </c>
      <c r="AI483" s="4">
        <v>6</v>
      </c>
      <c r="AJ483" s="4">
        <v>15</v>
      </c>
      <c r="AK483" s="4">
        <v>17</v>
      </c>
      <c r="AL483" s="4">
        <v>5</v>
      </c>
      <c r="AM483" s="4">
        <v>5</v>
      </c>
      <c r="AN483" s="4">
        <v>0</v>
      </c>
      <c r="AO483" s="4">
        <v>0</v>
      </c>
      <c r="AP483" s="3" t="s">
        <v>61</v>
      </c>
      <c r="AQ483" s="3" t="s">
        <v>61</v>
      </c>
      <c r="AS483" s="6" t="str">
        <f>HYPERLINK("https://creighton-primo.hosted.exlibrisgroup.com/primo-explore/search?tab=default_tab&amp;search_scope=EVERYTHING&amp;vid=01CRU&amp;lang=en_US&amp;offset=0&amp;query=any,contains,991004002799702656","Catalog Record")</f>
        <v>Catalog Record</v>
      </c>
      <c r="AT483" s="6" t="str">
        <f>HYPERLINK("http://www.worldcat.org/oclc/51206451","WorldCat Record")</f>
        <v>WorldCat Record</v>
      </c>
      <c r="AU483" s="3" t="s">
        <v>5715</v>
      </c>
      <c r="AV483" s="3" t="s">
        <v>5716</v>
      </c>
      <c r="AW483" s="3" t="s">
        <v>5717</v>
      </c>
      <c r="AX483" s="3" t="s">
        <v>5717</v>
      </c>
      <c r="AY483" s="3" t="s">
        <v>5718</v>
      </c>
      <c r="AZ483" s="3" t="s">
        <v>75</v>
      </c>
      <c r="BB483" s="3" t="s">
        <v>5719</v>
      </c>
      <c r="BC483" s="3" t="s">
        <v>5720</v>
      </c>
      <c r="BD483" s="3" t="s">
        <v>5721</v>
      </c>
    </row>
    <row r="484" spans="1:56" ht="44.25" customHeight="1" x14ac:dyDescent="0.25">
      <c r="A484" s="7" t="s">
        <v>61</v>
      </c>
      <c r="B484" s="2" t="s">
        <v>5722</v>
      </c>
      <c r="C484" s="2" t="s">
        <v>5723</v>
      </c>
      <c r="D484" s="2" t="s">
        <v>5724</v>
      </c>
      <c r="F484" s="3" t="s">
        <v>61</v>
      </c>
      <c r="G484" s="3" t="s">
        <v>60</v>
      </c>
      <c r="H484" s="3" t="s">
        <v>61</v>
      </c>
      <c r="I484" s="3" t="s">
        <v>61</v>
      </c>
      <c r="J484" s="3" t="s">
        <v>62</v>
      </c>
      <c r="K484" s="2" t="s">
        <v>5725</v>
      </c>
      <c r="L484" s="2" t="s">
        <v>5726</v>
      </c>
      <c r="M484" s="3" t="s">
        <v>579</v>
      </c>
      <c r="O484" s="3" t="s">
        <v>114</v>
      </c>
      <c r="P484" s="3" t="s">
        <v>235</v>
      </c>
      <c r="R484" s="3" t="s">
        <v>68</v>
      </c>
      <c r="S484" s="4">
        <v>2</v>
      </c>
      <c r="T484" s="4">
        <v>2</v>
      </c>
      <c r="U484" s="5" t="s">
        <v>5727</v>
      </c>
      <c r="V484" s="5" t="s">
        <v>5727</v>
      </c>
      <c r="W484" s="5" t="s">
        <v>5728</v>
      </c>
      <c r="X484" s="5" t="s">
        <v>5728</v>
      </c>
      <c r="Y484" s="4">
        <v>379</v>
      </c>
      <c r="Z484" s="4">
        <v>353</v>
      </c>
      <c r="AA484" s="4">
        <v>562</v>
      </c>
      <c r="AB484" s="4">
        <v>2</v>
      </c>
      <c r="AC484" s="4">
        <v>5</v>
      </c>
      <c r="AD484" s="4">
        <v>23</v>
      </c>
      <c r="AE484" s="4">
        <v>31</v>
      </c>
      <c r="AF484" s="4">
        <v>9</v>
      </c>
      <c r="AG484" s="4">
        <v>12</v>
      </c>
      <c r="AH484" s="4">
        <v>5</v>
      </c>
      <c r="AI484" s="4">
        <v>7</v>
      </c>
      <c r="AJ484" s="4">
        <v>14</v>
      </c>
      <c r="AK484" s="4">
        <v>16</v>
      </c>
      <c r="AL484" s="4">
        <v>1</v>
      </c>
      <c r="AM484" s="4">
        <v>4</v>
      </c>
      <c r="AN484" s="4">
        <v>0</v>
      </c>
      <c r="AO484" s="4">
        <v>0</v>
      </c>
      <c r="AP484" s="3" t="s">
        <v>61</v>
      </c>
      <c r="AQ484" s="3" t="s">
        <v>61</v>
      </c>
      <c r="AS484" s="6" t="str">
        <f>HYPERLINK("https://creighton-primo.hosted.exlibrisgroup.com/primo-explore/search?tab=default_tab&amp;search_scope=EVERYTHING&amp;vid=01CRU&amp;lang=en_US&amp;offset=0&amp;query=any,contains,991000777339702656","Catalog Record")</f>
        <v>Catalog Record</v>
      </c>
      <c r="AT484" s="6" t="str">
        <f>HYPERLINK("http://www.worldcat.org/oclc/13092078","WorldCat Record")</f>
        <v>WorldCat Record</v>
      </c>
      <c r="AU484" s="3" t="s">
        <v>5729</v>
      </c>
      <c r="AV484" s="3" t="s">
        <v>5730</v>
      </c>
      <c r="AW484" s="3" t="s">
        <v>5731</v>
      </c>
      <c r="AX484" s="3" t="s">
        <v>5731</v>
      </c>
      <c r="AY484" s="3" t="s">
        <v>5732</v>
      </c>
      <c r="AZ484" s="3" t="s">
        <v>75</v>
      </c>
      <c r="BB484" s="3" t="s">
        <v>5733</v>
      </c>
      <c r="BC484" s="3" t="s">
        <v>5734</v>
      </c>
      <c r="BD484" s="3" t="s">
        <v>5735</v>
      </c>
    </row>
    <row r="485" spans="1:56" ht="44.25" customHeight="1" x14ac:dyDescent="0.25">
      <c r="A485" s="7" t="s">
        <v>61</v>
      </c>
      <c r="B485" s="2" t="s">
        <v>5736</v>
      </c>
      <c r="C485" s="2" t="s">
        <v>5737</v>
      </c>
      <c r="D485" s="2" t="s">
        <v>5738</v>
      </c>
      <c r="F485" s="3" t="s">
        <v>61</v>
      </c>
      <c r="G485" s="3" t="s">
        <v>60</v>
      </c>
      <c r="H485" s="3" t="s">
        <v>61</v>
      </c>
      <c r="I485" s="3" t="s">
        <v>61</v>
      </c>
      <c r="J485" s="3" t="s">
        <v>62</v>
      </c>
      <c r="K485" s="2" t="s">
        <v>5739</v>
      </c>
      <c r="L485" s="2" t="s">
        <v>5740</v>
      </c>
      <c r="M485" s="3" t="s">
        <v>1744</v>
      </c>
      <c r="O485" s="3" t="s">
        <v>114</v>
      </c>
      <c r="P485" s="3" t="s">
        <v>235</v>
      </c>
      <c r="R485" s="3" t="s">
        <v>68</v>
      </c>
      <c r="S485" s="4">
        <v>1</v>
      </c>
      <c r="T485" s="4">
        <v>1</v>
      </c>
      <c r="U485" s="5" t="s">
        <v>5741</v>
      </c>
      <c r="V485" s="5" t="s">
        <v>5741</v>
      </c>
      <c r="W485" s="5" t="s">
        <v>4083</v>
      </c>
      <c r="X485" s="5" t="s">
        <v>4083</v>
      </c>
      <c r="Y485" s="4">
        <v>878</v>
      </c>
      <c r="Z485" s="4">
        <v>815</v>
      </c>
      <c r="AA485" s="4">
        <v>868</v>
      </c>
      <c r="AB485" s="4">
        <v>4</v>
      </c>
      <c r="AC485" s="4">
        <v>4</v>
      </c>
      <c r="AD485" s="4">
        <v>35</v>
      </c>
      <c r="AE485" s="4">
        <v>37</v>
      </c>
      <c r="AF485" s="4">
        <v>13</v>
      </c>
      <c r="AG485" s="4">
        <v>15</v>
      </c>
      <c r="AH485" s="4">
        <v>11</v>
      </c>
      <c r="AI485" s="4">
        <v>11</v>
      </c>
      <c r="AJ485" s="4">
        <v>19</v>
      </c>
      <c r="AK485" s="4">
        <v>19</v>
      </c>
      <c r="AL485" s="4">
        <v>3</v>
      </c>
      <c r="AM485" s="4">
        <v>3</v>
      </c>
      <c r="AN485" s="4">
        <v>0</v>
      </c>
      <c r="AO485" s="4">
        <v>0</v>
      </c>
      <c r="AP485" s="3" t="s">
        <v>61</v>
      </c>
      <c r="AQ485" s="3" t="s">
        <v>59</v>
      </c>
      <c r="AR485" s="6" t="str">
        <f>HYPERLINK("http://catalog.hathitrust.org/Record/000404058","HathiTrust Record")</f>
        <v>HathiTrust Record</v>
      </c>
      <c r="AS485" s="6" t="str">
        <f>HYPERLINK("https://creighton-primo.hosted.exlibrisgroup.com/primo-explore/search?tab=default_tab&amp;search_scope=EVERYTHING&amp;vid=01CRU&amp;lang=en_US&amp;offset=0&amp;query=any,contains,991002453899702656","Catalog Record")</f>
        <v>Catalog Record</v>
      </c>
      <c r="AT485" s="6" t="str">
        <f>HYPERLINK("http://www.worldcat.org/oclc/353653","WorldCat Record")</f>
        <v>WorldCat Record</v>
      </c>
      <c r="AU485" s="3" t="s">
        <v>5742</v>
      </c>
      <c r="AV485" s="3" t="s">
        <v>5743</v>
      </c>
      <c r="AW485" s="3" t="s">
        <v>5744</v>
      </c>
      <c r="AX485" s="3" t="s">
        <v>5744</v>
      </c>
      <c r="AY485" s="3" t="s">
        <v>5745</v>
      </c>
      <c r="AZ485" s="3" t="s">
        <v>75</v>
      </c>
      <c r="BC485" s="3" t="s">
        <v>5746</v>
      </c>
      <c r="BD485" s="3" t="s">
        <v>5747</v>
      </c>
    </row>
    <row r="486" spans="1:56" ht="44.25" customHeight="1" x14ac:dyDescent="0.25">
      <c r="A486" s="7" t="s">
        <v>61</v>
      </c>
      <c r="B486" s="2" t="s">
        <v>5748</v>
      </c>
      <c r="C486" s="2" t="s">
        <v>5749</v>
      </c>
      <c r="D486" s="2" t="s">
        <v>5750</v>
      </c>
      <c r="F486" s="3" t="s">
        <v>61</v>
      </c>
      <c r="G486" s="3" t="s">
        <v>60</v>
      </c>
      <c r="H486" s="3" t="s">
        <v>61</v>
      </c>
      <c r="I486" s="3" t="s">
        <v>61</v>
      </c>
      <c r="J486" s="3" t="s">
        <v>62</v>
      </c>
      <c r="K486" s="2" t="s">
        <v>5751</v>
      </c>
      <c r="L486" s="2" t="s">
        <v>5752</v>
      </c>
      <c r="M486" s="3" t="s">
        <v>755</v>
      </c>
      <c r="O486" s="3" t="s">
        <v>114</v>
      </c>
      <c r="P486" s="3" t="s">
        <v>649</v>
      </c>
      <c r="Q486" s="2" t="s">
        <v>5753</v>
      </c>
      <c r="R486" s="3" t="s">
        <v>68</v>
      </c>
      <c r="S486" s="4">
        <v>2</v>
      </c>
      <c r="T486" s="4">
        <v>2</v>
      </c>
      <c r="U486" s="5" t="s">
        <v>4966</v>
      </c>
      <c r="V486" s="5" t="s">
        <v>4966</v>
      </c>
      <c r="W486" s="5" t="s">
        <v>4083</v>
      </c>
      <c r="X486" s="5" t="s">
        <v>4083</v>
      </c>
      <c r="Y486" s="4">
        <v>197</v>
      </c>
      <c r="Z486" s="4">
        <v>177</v>
      </c>
      <c r="AA486" s="4">
        <v>274</v>
      </c>
      <c r="AB486" s="4">
        <v>2</v>
      </c>
      <c r="AC486" s="4">
        <v>2</v>
      </c>
      <c r="AD486" s="4">
        <v>7</v>
      </c>
      <c r="AE486" s="4">
        <v>9</v>
      </c>
      <c r="AF486" s="4">
        <v>3</v>
      </c>
      <c r="AG486" s="4">
        <v>3</v>
      </c>
      <c r="AH486" s="4">
        <v>2</v>
      </c>
      <c r="AI486" s="4">
        <v>3</v>
      </c>
      <c r="AJ486" s="4">
        <v>2</v>
      </c>
      <c r="AK486" s="4">
        <v>4</v>
      </c>
      <c r="AL486" s="4">
        <v>1</v>
      </c>
      <c r="AM486" s="4">
        <v>1</v>
      </c>
      <c r="AN486" s="4">
        <v>0</v>
      </c>
      <c r="AO486" s="4">
        <v>0</v>
      </c>
      <c r="AP486" s="3" t="s">
        <v>61</v>
      </c>
      <c r="AQ486" s="3" t="s">
        <v>59</v>
      </c>
      <c r="AR486" s="6" t="str">
        <f>HYPERLINK("http://catalog.hathitrust.org/Record/012271138","HathiTrust Record")</f>
        <v>HathiTrust Record</v>
      </c>
      <c r="AS486" s="6" t="str">
        <f>HYPERLINK("https://creighton-primo.hosted.exlibrisgroup.com/primo-explore/search?tab=default_tab&amp;search_scope=EVERYTHING&amp;vid=01CRU&amp;lang=en_US&amp;offset=0&amp;query=any,contains,991000782829702656","Catalog Record")</f>
        <v>Catalog Record</v>
      </c>
      <c r="AT486" s="6" t="str">
        <f>HYPERLINK("http://www.worldcat.org/oclc/135636","WorldCat Record")</f>
        <v>WorldCat Record</v>
      </c>
      <c r="AU486" s="3" t="s">
        <v>5754</v>
      </c>
      <c r="AV486" s="3" t="s">
        <v>5755</v>
      </c>
      <c r="AW486" s="3" t="s">
        <v>5756</v>
      </c>
      <c r="AX486" s="3" t="s">
        <v>5756</v>
      </c>
      <c r="AY486" s="3" t="s">
        <v>5757</v>
      </c>
      <c r="AZ486" s="3" t="s">
        <v>75</v>
      </c>
      <c r="BB486" s="3" t="s">
        <v>5758</v>
      </c>
      <c r="BC486" s="3" t="s">
        <v>5759</v>
      </c>
      <c r="BD486" s="3" t="s">
        <v>5760</v>
      </c>
    </row>
    <row r="487" spans="1:56" ht="44.25" customHeight="1" x14ac:dyDescent="0.25">
      <c r="A487" s="7" t="s">
        <v>61</v>
      </c>
      <c r="B487" s="2" t="s">
        <v>5761</v>
      </c>
      <c r="C487" s="2" t="s">
        <v>5762</v>
      </c>
      <c r="D487" s="2" t="s">
        <v>5763</v>
      </c>
      <c r="F487" s="3" t="s">
        <v>61</v>
      </c>
      <c r="G487" s="3" t="s">
        <v>60</v>
      </c>
      <c r="H487" s="3" t="s">
        <v>61</v>
      </c>
      <c r="I487" s="3" t="s">
        <v>61</v>
      </c>
      <c r="J487" s="3" t="s">
        <v>62</v>
      </c>
      <c r="K487" s="2" t="s">
        <v>5764</v>
      </c>
      <c r="L487" s="2" t="s">
        <v>5765</v>
      </c>
      <c r="M487" s="3" t="s">
        <v>379</v>
      </c>
      <c r="N487" s="2" t="s">
        <v>634</v>
      </c>
      <c r="O487" s="3" t="s">
        <v>114</v>
      </c>
      <c r="P487" s="3" t="s">
        <v>235</v>
      </c>
      <c r="R487" s="3" t="s">
        <v>68</v>
      </c>
      <c r="S487" s="4">
        <v>2</v>
      </c>
      <c r="T487" s="4">
        <v>2</v>
      </c>
      <c r="U487" s="5" t="s">
        <v>5766</v>
      </c>
      <c r="V487" s="5" t="s">
        <v>5766</v>
      </c>
      <c r="W487" s="5" t="s">
        <v>5767</v>
      </c>
      <c r="X487" s="5" t="s">
        <v>5767</v>
      </c>
      <c r="Y487" s="4">
        <v>107</v>
      </c>
      <c r="Z487" s="4">
        <v>105</v>
      </c>
      <c r="AA487" s="4">
        <v>110</v>
      </c>
      <c r="AB487" s="4">
        <v>3</v>
      </c>
      <c r="AC487" s="4">
        <v>3</v>
      </c>
      <c r="AD487" s="4">
        <v>5</v>
      </c>
      <c r="AE487" s="4">
        <v>5</v>
      </c>
      <c r="AF487" s="4">
        <v>0</v>
      </c>
      <c r="AG487" s="4">
        <v>0</v>
      </c>
      <c r="AH487" s="4">
        <v>1</v>
      </c>
      <c r="AI487" s="4">
        <v>1</v>
      </c>
      <c r="AJ487" s="4">
        <v>3</v>
      </c>
      <c r="AK487" s="4">
        <v>3</v>
      </c>
      <c r="AL487" s="4">
        <v>2</v>
      </c>
      <c r="AM487" s="4">
        <v>2</v>
      </c>
      <c r="AN487" s="4">
        <v>0</v>
      </c>
      <c r="AO487" s="4">
        <v>0</v>
      </c>
      <c r="AP487" s="3" t="s">
        <v>61</v>
      </c>
      <c r="AQ487" s="3" t="s">
        <v>61</v>
      </c>
      <c r="AS487" s="6" t="str">
        <f>HYPERLINK("https://creighton-primo.hosted.exlibrisgroup.com/primo-explore/search?tab=default_tab&amp;search_scope=EVERYTHING&amp;vid=01CRU&amp;lang=en_US&amp;offset=0&amp;query=any,contains,991003886399702656","Catalog Record")</f>
        <v>Catalog Record</v>
      </c>
      <c r="AT487" s="6" t="str">
        <f>HYPERLINK("http://www.worldcat.org/oclc/48057081","WorldCat Record")</f>
        <v>WorldCat Record</v>
      </c>
      <c r="AU487" s="3" t="s">
        <v>5768</v>
      </c>
      <c r="AV487" s="3" t="s">
        <v>5769</v>
      </c>
      <c r="AW487" s="3" t="s">
        <v>5770</v>
      </c>
      <c r="AX487" s="3" t="s">
        <v>5770</v>
      </c>
      <c r="AY487" s="3" t="s">
        <v>5771</v>
      </c>
      <c r="AZ487" s="3" t="s">
        <v>75</v>
      </c>
      <c r="BB487" s="3" t="s">
        <v>5772</v>
      </c>
      <c r="BC487" s="3" t="s">
        <v>5773</v>
      </c>
      <c r="BD487" s="3" t="s">
        <v>5774</v>
      </c>
    </row>
    <row r="488" spans="1:56" ht="44.25" customHeight="1" x14ac:dyDescent="0.25">
      <c r="A488" s="7" t="s">
        <v>61</v>
      </c>
      <c r="B488" s="2" t="s">
        <v>5775</v>
      </c>
      <c r="C488" s="2" t="s">
        <v>5776</v>
      </c>
      <c r="D488" s="2" t="s">
        <v>5777</v>
      </c>
      <c r="F488" s="3" t="s">
        <v>61</v>
      </c>
      <c r="G488" s="3" t="s">
        <v>60</v>
      </c>
      <c r="H488" s="3" t="s">
        <v>61</v>
      </c>
      <c r="I488" s="3" t="s">
        <v>61</v>
      </c>
      <c r="J488" s="3" t="s">
        <v>62</v>
      </c>
      <c r="K488" s="2" t="s">
        <v>5778</v>
      </c>
      <c r="L488" s="2" t="s">
        <v>5779</v>
      </c>
      <c r="M488" s="3" t="s">
        <v>407</v>
      </c>
      <c r="O488" s="3" t="s">
        <v>114</v>
      </c>
      <c r="P488" s="3" t="s">
        <v>192</v>
      </c>
      <c r="Q488" s="2" t="s">
        <v>5780</v>
      </c>
      <c r="R488" s="3" t="s">
        <v>68</v>
      </c>
      <c r="S488" s="4">
        <v>4</v>
      </c>
      <c r="T488" s="4">
        <v>4</v>
      </c>
      <c r="U488" s="5" t="s">
        <v>3180</v>
      </c>
      <c r="V488" s="5" t="s">
        <v>3180</v>
      </c>
      <c r="W488" s="5" t="s">
        <v>5781</v>
      </c>
      <c r="X488" s="5" t="s">
        <v>5781</v>
      </c>
      <c r="Y488" s="4">
        <v>429</v>
      </c>
      <c r="Z488" s="4">
        <v>289</v>
      </c>
      <c r="AA488" s="4">
        <v>823</v>
      </c>
      <c r="AB488" s="4">
        <v>2</v>
      </c>
      <c r="AC488" s="4">
        <v>5</v>
      </c>
      <c r="AD488" s="4">
        <v>20</v>
      </c>
      <c r="AE488" s="4">
        <v>33</v>
      </c>
      <c r="AF488" s="4">
        <v>8</v>
      </c>
      <c r="AG488" s="4">
        <v>15</v>
      </c>
      <c r="AH488" s="4">
        <v>6</v>
      </c>
      <c r="AI488" s="4">
        <v>8</v>
      </c>
      <c r="AJ488" s="4">
        <v>11</v>
      </c>
      <c r="AK488" s="4">
        <v>16</v>
      </c>
      <c r="AL488" s="4">
        <v>1</v>
      </c>
      <c r="AM488" s="4">
        <v>4</v>
      </c>
      <c r="AN488" s="4">
        <v>0</v>
      </c>
      <c r="AO488" s="4">
        <v>0</v>
      </c>
      <c r="AP488" s="3" t="s">
        <v>61</v>
      </c>
      <c r="AQ488" s="3" t="s">
        <v>61</v>
      </c>
      <c r="AS488" s="6" t="str">
        <f>HYPERLINK("https://creighton-primo.hosted.exlibrisgroup.com/primo-explore/search?tab=default_tab&amp;search_scope=EVERYTHING&amp;vid=01CRU&amp;lang=en_US&amp;offset=0&amp;query=any,contains,991002461779702656","Catalog Record")</f>
        <v>Catalog Record</v>
      </c>
      <c r="AT488" s="6" t="str">
        <f>HYPERLINK("http://www.worldcat.org/oclc/32085761","WorldCat Record")</f>
        <v>WorldCat Record</v>
      </c>
      <c r="AU488" s="3" t="s">
        <v>5782</v>
      </c>
      <c r="AV488" s="3" t="s">
        <v>5783</v>
      </c>
      <c r="AW488" s="3" t="s">
        <v>5784</v>
      </c>
      <c r="AX488" s="3" t="s">
        <v>5784</v>
      </c>
      <c r="AY488" s="3" t="s">
        <v>5785</v>
      </c>
      <c r="AZ488" s="3" t="s">
        <v>75</v>
      </c>
      <c r="BB488" s="3" t="s">
        <v>5786</v>
      </c>
      <c r="BC488" s="3" t="s">
        <v>5787</v>
      </c>
      <c r="BD488" s="3" t="s">
        <v>5788</v>
      </c>
    </row>
    <row r="489" spans="1:56" ht="44.25" customHeight="1" x14ac:dyDescent="0.25">
      <c r="A489" s="7" t="s">
        <v>61</v>
      </c>
      <c r="B489" s="2" t="s">
        <v>5789</v>
      </c>
      <c r="C489" s="2" t="s">
        <v>5790</v>
      </c>
      <c r="D489" s="2" t="s">
        <v>5791</v>
      </c>
      <c r="F489" s="3" t="s">
        <v>61</v>
      </c>
      <c r="G489" s="3" t="s">
        <v>60</v>
      </c>
      <c r="H489" s="3" t="s">
        <v>61</v>
      </c>
      <c r="I489" s="3" t="s">
        <v>61</v>
      </c>
      <c r="J489" s="3" t="s">
        <v>62</v>
      </c>
      <c r="L489" s="2" t="s">
        <v>5792</v>
      </c>
      <c r="M489" s="3" t="s">
        <v>234</v>
      </c>
      <c r="O489" s="3" t="s">
        <v>114</v>
      </c>
      <c r="P489" s="3" t="s">
        <v>1361</v>
      </c>
      <c r="R489" s="3" t="s">
        <v>68</v>
      </c>
      <c r="S489" s="4">
        <v>6</v>
      </c>
      <c r="T489" s="4">
        <v>6</v>
      </c>
      <c r="U489" s="5" t="s">
        <v>3180</v>
      </c>
      <c r="V489" s="5" t="s">
        <v>3180</v>
      </c>
      <c r="W489" s="5" t="s">
        <v>162</v>
      </c>
      <c r="X489" s="5" t="s">
        <v>162</v>
      </c>
      <c r="Y489" s="4">
        <v>294</v>
      </c>
      <c r="Z489" s="4">
        <v>173</v>
      </c>
      <c r="AA489" s="4">
        <v>174</v>
      </c>
      <c r="AB489" s="4">
        <v>2</v>
      </c>
      <c r="AC489" s="4">
        <v>2</v>
      </c>
      <c r="AD489" s="4">
        <v>7</v>
      </c>
      <c r="AE489" s="4">
        <v>7</v>
      </c>
      <c r="AF489" s="4">
        <v>0</v>
      </c>
      <c r="AG489" s="4">
        <v>0</v>
      </c>
      <c r="AH489" s="4">
        <v>1</v>
      </c>
      <c r="AI489" s="4">
        <v>1</v>
      </c>
      <c r="AJ489" s="4">
        <v>5</v>
      </c>
      <c r="AK489" s="4">
        <v>5</v>
      </c>
      <c r="AL489" s="4">
        <v>1</v>
      </c>
      <c r="AM489" s="4">
        <v>1</v>
      </c>
      <c r="AN489" s="4">
        <v>0</v>
      </c>
      <c r="AO489" s="4">
        <v>0</v>
      </c>
      <c r="AP489" s="3" t="s">
        <v>61</v>
      </c>
      <c r="AQ489" s="3" t="s">
        <v>59</v>
      </c>
      <c r="AR489" s="6" t="str">
        <f>HYPERLINK("http://catalog.hathitrust.org/Record/000417813","HathiTrust Record")</f>
        <v>HathiTrust Record</v>
      </c>
      <c r="AS489" s="6" t="str">
        <f>HYPERLINK("https://creighton-primo.hosted.exlibrisgroup.com/primo-explore/search?tab=default_tab&amp;search_scope=EVERYTHING&amp;vid=01CRU&amp;lang=en_US&amp;offset=0&amp;query=any,contains,991000467319702656","Catalog Record")</f>
        <v>Catalog Record</v>
      </c>
      <c r="AT489" s="6" t="str">
        <f>HYPERLINK("http://www.worldcat.org/oclc/10980753","WorldCat Record")</f>
        <v>WorldCat Record</v>
      </c>
      <c r="AU489" s="3" t="s">
        <v>5793</v>
      </c>
      <c r="AV489" s="3" t="s">
        <v>5794</v>
      </c>
      <c r="AW489" s="3" t="s">
        <v>5795</v>
      </c>
      <c r="AX489" s="3" t="s">
        <v>5795</v>
      </c>
      <c r="AY489" s="3" t="s">
        <v>5796</v>
      </c>
      <c r="AZ489" s="3" t="s">
        <v>75</v>
      </c>
      <c r="BB489" s="3" t="s">
        <v>5797</v>
      </c>
      <c r="BC489" s="3" t="s">
        <v>5798</v>
      </c>
      <c r="BD489" s="3" t="s">
        <v>5799</v>
      </c>
    </row>
    <row r="490" spans="1:56" ht="44.25" customHeight="1" x14ac:dyDescent="0.25">
      <c r="A490" s="7" t="s">
        <v>61</v>
      </c>
      <c r="B490" s="2" t="s">
        <v>5800</v>
      </c>
      <c r="C490" s="2" t="s">
        <v>5801</v>
      </c>
      <c r="D490" s="2" t="s">
        <v>5802</v>
      </c>
      <c r="F490" s="3" t="s">
        <v>61</v>
      </c>
      <c r="G490" s="3" t="s">
        <v>60</v>
      </c>
      <c r="H490" s="3" t="s">
        <v>61</v>
      </c>
      <c r="I490" s="3" t="s">
        <v>61</v>
      </c>
      <c r="J490" s="3" t="s">
        <v>62</v>
      </c>
      <c r="K490" s="2" t="s">
        <v>5803</v>
      </c>
      <c r="L490" s="2" t="s">
        <v>5804</v>
      </c>
      <c r="M490" s="3" t="s">
        <v>263</v>
      </c>
      <c r="O490" s="3" t="s">
        <v>114</v>
      </c>
      <c r="P490" s="3" t="s">
        <v>115</v>
      </c>
      <c r="Q490" s="2" t="s">
        <v>5805</v>
      </c>
      <c r="R490" s="3" t="s">
        <v>68</v>
      </c>
      <c r="S490" s="4">
        <v>2</v>
      </c>
      <c r="T490" s="4">
        <v>2</v>
      </c>
      <c r="U490" s="5" t="s">
        <v>5806</v>
      </c>
      <c r="V490" s="5" t="s">
        <v>5806</v>
      </c>
      <c r="W490" s="5" t="s">
        <v>162</v>
      </c>
      <c r="X490" s="5" t="s">
        <v>162</v>
      </c>
      <c r="Y490" s="4">
        <v>721</v>
      </c>
      <c r="Z490" s="4">
        <v>615</v>
      </c>
      <c r="AA490" s="4">
        <v>709</v>
      </c>
      <c r="AB490" s="4">
        <v>4</v>
      </c>
      <c r="AC490" s="4">
        <v>4</v>
      </c>
      <c r="AD490" s="4">
        <v>29</v>
      </c>
      <c r="AE490" s="4">
        <v>30</v>
      </c>
      <c r="AF490" s="4">
        <v>13</v>
      </c>
      <c r="AG490" s="4">
        <v>13</v>
      </c>
      <c r="AH490" s="4">
        <v>7</v>
      </c>
      <c r="AI490" s="4">
        <v>7</v>
      </c>
      <c r="AJ490" s="4">
        <v>16</v>
      </c>
      <c r="AK490" s="4">
        <v>17</v>
      </c>
      <c r="AL490" s="4">
        <v>3</v>
      </c>
      <c r="AM490" s="4">
        <v>3</v>
      </c>
      <c r="AN490" s="4">
        <v>0</v>
      </c>
      <c r="AO490" s="4">
        <v>0</v>
      </c>
      <c r="AP490" s="3" t="s">
        <v>61</v>
      </c>
      <c r="AQ490" s="3" t="s">
        <v>61</v>
      </c>
      <c r="AS490" s="6" t="str">
        <f>HYPERLINK("https://creighton-primo.hosted.exlibrisgroup.com/primo-explore/search?tab=default_tab&amp;search_scope=EVERYTHING&amp;vid=01CRU&amp;lang=en_US&amp;offset=0&amp;query=any,contains,991005134319702656","Catalog Record")</f>
        <v>Catalog Record</v>
      </c>
      <c r="AT490" s="6" t="str">
        <f>HYPERLINK("http://www.worldcat.org/oclc/7575469","WorldCat Record")</f>
        <v>WorldCat Record</v>
      </c>
      <c r="AU490" s="3" t="s">
        <v>5807</v>
      </c>
      <c r="AV490" s="3" t="s">
        <v>5808</v>
      </c>
      <c r="AW490" s="3" t="s">
        <v>5809</v>
      </c>
      <c r="AX490" s="3" t="s">
        <v>5809</v>
      </c>
      <c r="AY490" s="3" t="s">
        <v>5810</v>
      </c>
      <c r="AZ490" s="3" t="s">
        <v>75</v>
      </c>
      <c r="BB490" s="3" t="s">
        <v>5811</v>
      </c>
      <c r="BC490" s="3" t="s">
        <v>5812</v>
      </c>
      <c r="BD490" s="3" t="s">
        <v>5813</v>
      </c>
    </row>
    <row r="491" spans="1:56" ht="44.25" customHeight="1" x14ac:dyDescent="0.25">
      <c r="A491" s="7" t="s">
        <v>61</v>
      </c>
      <c r="B491" s="2" t="s">
        <v>5814</v>
      </c>
      <c r="C491" s="2" t="s">
        <v>5815</v>
      </c>
      <c r="D491" s="2" t="s">
        <v>5816</v>
      </c>
      <c r="F491" s="3" t="s">
        <v>61</v>
      </c>
      <c r="G491" s="3" t="s">
        <v>60</v>
      </c>
      <c r="H491" s="3" t="s">
        <v>61</v>
      </c>
      <c r="I491" s="3" t="s">
        <v>61</v>
      </c>
      <c r="J491" s="3" t="s">
        <v>62</v>
      </c>
      <c r="K491" s="2" t="s">
        <v>5817</v>
      </c>
      <c r="L491" s="2" t="s">
        <v>5818</v>
      </c>
      <c r="M491" s="3" t="s">
        <v>263</v>
      </c>
      <c r="O491" s="3" t="s">
        <v>114</v>
      </c>
      <c r="P491" s="3" t="s">
        <v>235</v>
      </c>
      <c r="R491" s="3" t="s">
        <v>68</v>
      </c>
      <c r="S491" s="4">
        <v>1</v>
      </c>
      <c r="T491" s="4">
        <v>1</v>
      </c>
      <c r="U491" s="5" t="s">
        <v>5819</v>
      </c>
      <c r="V491" s="5" t="s">
        <v>5819</v>
      </c>
      <c r="W491" s="5" t="s">
        <v>162</v>
      </c>
      <c r="X491" s="5" t="s">
        <v>162</v>
      </c>
      <c r="Y491" s="4">
        <v>292</v>
      </c>
      <c r="Z491" s="4">
        <v>231</v>
      </c>
      <c r="AA491" s="4">
        <v>312</v>
      </c>
      <c r="AB491" s="4">
        <v>5</v>
      </c>
      <c r="AC491" s="4">
        <v>5</v>
      </c>
      <c r="AD491" s="4">
        <v>14</v>
      </c>
      <c r="AE491" s="4">
        <v>19</v>
      </c>
      <c r="AF491" s="4">
        <v>3</v>
      </c>
      <c r="AG491" s="4">
        <v>4</v>
      </c>
      <c r="AH491" s="4">
        <v>1</v>
      </c>
      <c r="AI491" s="4">
        <v>4</v>
      </c>
      <c r="AJ491" s="4">
        <v>9</v>
      </c>
      <c r="AK491" s="4">
        <v>12</v>
      </c>
      <c r="AL491" s="4">
        <v>4</v>
      </c>
      <c r="AM491" s="4">
        <v>4</v>
      </c>
      <c r="AN491" s="4">
        <v>0</v>
      </c>
      <c r="AO491" s="4">
        <v>0</v>
      </c>
      <c r="AP491" s="3" t="s">
        <v>61</v>
      </c>
      <c r="AQ491" s="3" t="s">
        <v>61</v>
      </c>
      <c r="AS491" s="6" t="str">
        <f>HYPERLINK("https://creighton-primo.hosted.exlibrisgroup.com/primo-explore/search?tab=default_tab&amp;search_scope=EVERYTHING&amp;vid=01CRU&amp;lang=en_US&amp;offset=0&amp;query=any,contains,991005211449702656","Catalog Record")</f>
        <v>Catalog Record</v>
      </c>
      <c r="AT491" s="6" t="str">
        <f>HYPERLINK("http://www.worldcat.org/oclc/8169446","WorldCat Record")</f>
        <v>WorldCat Record</v>
      </c>
      <c r="AU491" s="3" t="s">
        <v>5820</v>
      </c>
      <c r="AV491" s="3" t="s">
        <v>5821</v>
      </c>
      <c r="AW491" s="3" t="s">
        <v>5822</v>
      </c>
      <c r="AX491" s="3" t="s">
        <v>5822</v>
      </c>
      <c r="AY491" s="3" t="s">
        <v>5823</v>
      </c>
      <c r="AZ491" s="3" t="s">
        <v>75</v>
      </c>
      <c r="BB491" s="3" t="s">
        <v>5824</v>
      </c>
      <c r="BC491" s="3" t="s">
        <v>5825</v>
      </c>
      <c r="BD491" s="3" t="s">
        <v>5826</v>
      </c>
    </row>
    <row r="492" spans="1:56" ht="44.25" customHeight="1" x14ac:dyDescent="0.25">
      <c r="A492" s="7" t="s">
        <v>61</v>
      </c>
      <c r="B492" s="2" t="s">
        <v>5827</v>
      </c>
      <c r="C492" s="2" t="s">
        <v>5828</v>
      </c>
      <c r="D492" s="2" t="s">
        <v>5829</v>
      </c>
      <c r="F492" s="3" t="s">
        <v>61</v>
      </c>
      <c r="G492" s="3" t="s">
        <v>60</v>
      </c>
      <c r="H492" s="3" t="s">
        <v>61</v>
      </c>
      <c r="I492" s="3" t="s">
        <v>61</v>
      </c>
      <c r="J492" s="3" t="s">
        <v>62</v>
      </c>
      <c r="K492" s="2" t="s">
        <v>5830</v>
      </c>
      <c r="L492" s="2" t="s">
        <v>5831</v>
      </c>
      <c r="M492" s="3" t="s">
        <v>1211</v>
      </c>
      <c r="O492" s="3" t="s">
        <v>114</v>
      </c>
      <c r="P492" s="3" t="s">
        <v>192</v>
      </c>
      <c r="R492" s="3" t="s">
        <v>68</v>
      </c>
      <c r="S492" s="4">
        <v>3</v>
      </c>
      <c r="T492" s="4">
        <v>3</v>
      </c>
      <c r="U492" s="5" t="s">
        <v>3440</v>
      </c>
      <c r="V492" s="5" t="s">
        <v>3440</v>
      </c>
      <c r="W492" s="5" t="s">
        <v>4083</v>
      </c>
      <c r="X492" s="5" t="s">
        <v>4083</v>
      </c>
      <c r="Y492" s="4">
        <v>204</v>
      </c>
      <c r="Z492" s="4">
        <v>133</v>
      </c>
      <c r="AA492" s="4">
        <v>139</v>
      </c>
      <c r="AB492" s="4">
        <v>2</v>
      </c>
      <c r="AC492" s="4">
        <v>2</v>
      </c>
      <c r="AD492" s="4">
        <v>5</v>
      </c>
      <c r="AE492" s="4">
        <v>5</v>
      </c>
      <c r="AF492" s="4">
        <v>1</v>
      </c>
      <c r="AG492" s="4">
        <v>1</v>
      </c>
      <c r="AH492" s="4">
        <v>2</v>
      </c>
      <c r="AI492" s="4">
        <v>2</v>
      </c>
      <c r="AJ492" s="4">
        <v>3</v>
      </c>
      <c r="AK492" s="4">
        <v>3</v>
      </c>
      <c r="AL492" s="4">
        <v>1</v>
      </c>
      <c r="AM492" s="4">
        <v>1</v>
      </c>
      <c r="AN492" s="4">
        <v>0</v>
      </c>
      <c r="AO492" s="4">
        <v>0</v>
      </c>
      <c r="AP492" s="3" t="s">
        <v>61</v>
      </c>
      <c r="AQ492" s="3" t="s">
        <v>59</v>
      </c>
      <c r="AR492" s="6" t="str">
        <f>HYPERLINK("http://catalog.hathitrust.org/Record/000440815","HathiTrust Record")</f>
        <v>HathiTrust Record</v>
      </c>
      <c r="AS492" s="6" t="str">
        <f>HYPERLINK("https://creighton-primo.hosted.exlibrisgroup.com/primo-explore/search?tab=default_tab&amp;search_scope=EVERYTHING&amp;vid=01CRU&amp;lang=en_US&amp;offset=0&amp;query=any,contains,991003265249702656","Catalog Record")</f>
        <v>Catalog Record</v>
      </c>
      <c r="AT492" s="6" t="str">
        <f>HYPERLINK("http://www.worldcat.org/oclc/790923","WorldCat Record")</f>
        <v>WorldCat Record</v>
      </c>
      <c r="AU492" s="3" t="s">
        <v>5832</v>
      </c>
      <c r="AV492" s="3" t="s">
        <v>5833</v>
      </c>
      <c r="AW492" s="3" t="s">
        <v>5834</v>
      </c>
      <c r="AX492" s="3" t="s">
        <v>5834</v>
      </c>
      <c r="AY492" s="3" t="s">
        <v>5835</v>
      </c>
      <c r="AZ492" s="3" t="s">
        <v>75</v>
      </c>
      <c r="BB492" s="3" t="s">
        <v>5836</v>
      </c>
      <c r="BC492" s="3" t="s">
        <v>5837</v>
      </c>
      <c r="BD492" s="3" t="s">
        <v>5838</v>
      </c>
    </row>
    <row r="493" spans="1:56" ht="44.25" customHeight="1" x14ac:dyDescent="0.25">
      <c r="A493" s="7" t="s">
        <v>61</v>
      </c>
      <c r="B493" s="2" t="s">
        <v>5839</v>
      </c>
      <c r="C493" s="2" t="s">
        <v>5840</v>
      </c>
      <c r="D493" s="2" t="s">
        <v>5841</v>
      </c>
      <c r="F493" s="3" t="s">
        <v>61</v>
      </c>
      <c r="G493" s="3" t="s">
        <v>60</v>
      </c>
      <c r="H493" s="3" t="s">
        <v>61</v>
      </c>
      <c r="I493" s="3" t="s">
        <v>61</v>
      </c>
      <c r="J493" s="3" t="s">
        <v>62</v>
      </c>
      <c r="K493" s="2" t="s">
        <v>5842</v>
      </c>
      <c r="L493" s="2" t="s">
        <v>5843</v>
      </c>
      <c r="M493" s="3" t="s">
        <v>5844</v>
      </c>
      <c r="O493" s="3" t="s">
        <v>114</v>
      </c>
      <c r="P493" s="3" t="s">
        <v>67</v>
      </c>
      <c r="R493" s="3" t="s">
        <v>68</v>
      </c>
      <c r="S493" s="4">
        <v>1</v>
      </c>
      <c r="T493" s="4">
        <v>1</v>
      </c>
      <c r="U493" s="5" t="s">
        <v>5845</v>
      </c>
      <c r="V493" s="5" t="s">
        <v>5845</v>
      </c>
      <c r="W493" s="5" t="s">
        <v>2653</v>
      </c>
      <c r="X493" s="5" t="s">
        <v>2653</v>
      </c>
      <c r="Y493" s="4">
        <v>164</v>
      </c>
      <c r="Z493" s="4">
        <v>139</v>
      </c>
      <c r="AA493" s="4">
        <v>144</v>
      </c>
      <c r="AB493" s="4">
        <v>1</v>
      </c>
      <c r="AC493" s="4">
        <v>1</v>
      </c>
      <c r="AD493" s="4">
        <v>3</v>
      </c>
      <c r="AE493" s="4">
        <v>3</v>
      </c>
      <c r="AF493" s="4">
        <v>1</v>
      </c>
      <c r="AG493" s="4">
        <v>1</v>
      </c>
      <c r="AH493" s="4">
        <v>1</v>
      </c>
      <c r="AI493" s="4">
        <v>1</v>
      </c>
      <c r="AJ493" s="4">
        <v>1</v>
      </c>
      <c r="AK493" s="4">
        <v>1</v>
      </c>
      <c r="AL493" s="4">
        <v>0</v>
      </c>
      <c r="AM493" s="4">
        <v>0</v>
      </c>
      <c r="AN493" s="4">
        <v>0</v>
      </c>
      <c r="AO493" s="4">
        <v>0</v>
      </c>
      <c r="AP493" s="3" t="s">
        <v>61</v>
      </c>
      <c r="AQ493" s="3" t="s">
        <v>59</v>
      </c>
      <c r="AR493" s="6" t="str">
        <f>HYPERLINK("http://catalog.hathitrust.org/Record/005943883","HathiTrust Record")</f>
        <v>HathiTrust Record</v>
      </c>
      <c r="AS493" s="6" t="str">
        <f>HYPERLINK("https://creighton-primo.hosted.exlibrisgroup.com/primo-explore/search?tab=default_tab&amp;search_scope=EVERYTHING&amp;vid=01CRU&amp;lang=en_US&amp;offset=0&amp;query=any,contains,991001057109702656","Catalog Record")</f>
        <v>Catalog Record</v>
      </c>
      <c r="AT493" s="6" t="str">
        <f>HYPERLINK("http://www.worldcat.org/oclc/177504","WorldCat Record")</f>
        <v>WorldCat Record</v>
      </c>
      <c r="AU493" s="3" t="s">
        <v>5846</v>
      </c>
      <c r="AV493" s="3" t="s">
        <v>5847</v>
      </c>
      <c r="AW493" s="3" t="s">
        <v>5848</v>
      </c>
      <c r="AX493" s="3" t="s">
        <v>5848</v>
      </c>
      <c r="AY493" s="3" t="s">
        <v>5849</v>
      </c>
      <c r="AZ493" s="3" t="s">
        <v>75</v>
      </c>
      <c r="BC493" s="3" t="s">
        <v>5850</v>
      </c>
      <c r="BD493" s="3" t="s">
        <v>5851</v>
      </c>
    </row>
    <row r="494" spans="1:56" ht="44.25" customHeight="1" x14ac:dyDescent="0.25">
      <c r="A494" s="7" t="s">
        <v>61</v>
      </c>
      <c r="B494" s="2" t="s">
        <v>5852</v>
      </c>
      <c r="C494" s="2" t="s">
        <v>5853</v>
      </c>
      <c r="D494" s="2" t="s">
        <v>5854</v>
      </c>
      <c r="F494" s="3" t="s">
        <v>61</v>
      </c>
      <c r="G494" s="3" t="s">
        <v>60</v>
      </c>
      <c r="H494" s="3" t="s">
        <v>61</v>
      </c>
      <c r="I494" s="3" t="s">
        <v>61</v>
      </c>
      <c r="J494" s="3" t="s">
        <v>62</v>
      </c>
      <c r="K494" s="2" t="s">
        <v>5855</v>
      </c>
      <c r="L494" s="2" t="s">
        <v>5856</v>
      </c>
      <c r="M494" s="3" t="s">
        <v>884</v>
      </c>
      <c r="O494" s="3" t="s">
        <v>114</v>
      </c>
      <c r="P494" s="3" t="s">
        <v>437</v>
      </c>
      <c r="R494" s="3" t="s">
        <v>68</v>
      </c>
      <c r="S494" s="4">
        <v>1</v>
      </c>
      <c r="T494" s="4">
        <v>1</v>
      </c>
      <c r="U494" s="5" t="s">
        <v>5857</v>
      </c>
      <c r="V494" s="5" t="s">
        <v>5857</v>
      </c>
      <c r="W494" s="5" t="s">
        <v>5327</v>
      </c>
      <c r="X494" s="5" t="s">
        <v>5327</v>
      </c>
      <c r="Y494" s="4">
        <v>876</v>
      </c>
      <c r="Z494" s="4">
        <v>753</v>
      </c>
      <c r="AA494" s="4">
        <v>796</v>
      </c>
      <c r="AB494" s="4">
        <v>6</v>
      </c>
      <c r="AC494" s="4">
        <v>6</v>
      </c>
      <c r="AD494" s="4">
        <v>33</v>
      </c>
      <c r="AE494" s="4">
        <v>33</v>
      </c>
      <c r="AF494" s="4">
        <v>13</v>
      </c>
      <c r="AG494" s="4">
        <v>13</v>
      </c>
      <c r="AH494" s="4">
        <v>7</v>
      </c>
      <c r="AI494" s="4">
        <v>7</v>
      </c>
      <c r="AJ494" s="4">
        <v>15</v>
      </c>
      <c r="AK494" s="4">
        <v>15</v>
      </c>
      <c r="AL494" s="4">
        <v>5</v>
      </c>
      <c r="AM494" s="4">
        <v>5</v>
      </c>
      <c r="AN494" s="4">
        <v>0</v>
      </c>
      <c r="AO494" s="4">
        <v>0</v>
      </c>
      <c r="AP494" s="3" t="s">
        <v>61</v>
      </c>
      <c r="AQ494" s="3" t="s">
        <v>59</v>
      </c>
      <c r="AR494" s="6" t="str">
        <f>HYPERLINK("http://catalog.hathitrust.org/Record/001172582","HathiTrust Record")</f>
        <v>HathiTrust Record</v>
      </c>
      <c r="AS494" s="6" t="str">
        <f>HYPERLINK("https://creighton-primo.hosted.exlibrisgroup.com/primo-explore/search?tab=default_tab&amp;search_scope=EVERYTHING&amp;vid=01CRU&amp;lang=en_US&amp;offset=0&amp;query=any,contains,991000620849702656","Catalog Record")</f>
        <v>Catalog Record</v>
      </c>
      <c r="AT494" s="6" t="str">
        <f>HYPERLINK("http://www.worldcat.org/oclc/102176","WorldCat Record")</f>
        <v>WorldCat Record</v>
      </c>
      <c r="AU494" s="3" t="s">
        <v>5858</v>
      </c>
      <c r="AV494" s="3" t="s">
        <v>5859</v>
      </c>
      <c r="AW494" s="3" t="s">
        <v>5860</v>
      </c>
      <c r="AX494" s="3" t="s">
        <v>5860</v>
      </c>
      <c r="AY494" s="3" t="s">
        <v>5861</v>
      </c>
      <c r="AZ494" s="3" t="s">
        <v>75</v>
      </c>
      <c r="BB494" s="3" t="s">
        <v>5862</v>
      </c>
      <c r="BC494" s="3" t="s">
        <v>5863</v>
      </c>
      <c r="BD494" s="3" t="s">
        <v>5864</v>
      </c>
    </row>
    <row r="495" spans="1:56" ht="44.25" customHeight="1" x14ac:dyDescent="0.25">
      <c r="A495" s="7" t="s">
        <v>61</v>
      </c>
      <c r="B495" s="2" t="s">
        <v>5865</v>
      </c>
      <c r="C495" s="2" t="s">
        <v>5866</v>
      </c>
      <c r="D495" s="2" t="s">
        <v>5867</v>
      </c>
      <c r="F495" s="3" t="s">
        <v>61</v>
      </c>
      <c r="G495" s="3" t="s">
        <v>60</v>
      </c>
      <c r="H495" s="3" t="s">
        <v>61</v>
      </c>
      <c r="I495" s="3" t="s">
        <v>61</v>
      </c>
      <c r="J495" s="3" t="s">
        <v>62</v>
      </c>
      <c r="K495" s="2" t="s">
        <v>5868</v>
      </c>
      <c r="L495" s="2" t="s">
        <v>5869</v>
      </c>
      <c r="M495" s="3" t="s">
        <v>495</v>
      </c>
      <c r="O495" s="3" t="s">
        <v>114</v>
      </c>
      <c r="P495" s="3" t="s">
        <v>192</v>
      </c>
      <c r="R495" s="3" t="s">
        <v>68</v>
      </c>
      <c r="S495" s="4">
        <v>2</v>
      </c>
      <c r="T495" s="4">
        <v>2</v>
      </c>
      <c r="U495" s="5" t="s">
        <v>5870</v>
      </c>
      <c r="V495" s="5" t="s">
        <v>5870</v>
      </c>
      <c r="W495" s="5" t="s">
        <v>5871</v>
      </c>
      <c r="X495" s="5" t="s">
        <v>5871</v>
      </c>
      <c r="Y495" s="4">
        <v>2363</v>
      </c>
      <c r="Z495" s="4">
        <v>1998</v>
      </c>
      <c r="AA495" s="4">
        <v>2224</v>
      </c>
      <c r="AB495" s="4">
        <v>19</v>
      </c>
      <c r="AC495" s="4">
        <v>20</v>
      </c>
      <c r="AD495" s="4">
        <v>55</v>
      </c>
      <c r="AE495" s="4">
        <v>59</v>
      </c>
      <c r="AF495" s="4">
        <v>21</v>
      </c>
      <c r="AG495" s="4">
        <v>24</v>
      </c>
      <c r="AH495" s="4">
        <v>11</v>
      </c>
      <c r="AI495" s="4">
        <v>11</v>
      </c>
      <c r="AJ495" s="4">
        <v>22</v>
      </c>
      <c r="AK495" s="4">
        <v>25</v>
      </c>
      <c r="AL495" s="4">
        <v>11</v>
      </c>
      <c r="AM495" s="4">
        <v>11</v>
      </c>
      <c r="AN495" s="4">
        <v>2</v>
      </c>
      <c r="AO495" s="4">
        <v>2</v>
      </c>
      <c r="AP495" s="3" t="s">
        <v>61</v>
      </c>
      <c r="AQ495" s="3" t="s">
        <v>61</v>
      </c>
      <c r="AS495" s="6" t="str">
        <f>HYPERLINK("https://creighton-primo.hosted.exlibrisgroup.com/primo-explore/search?tab=default_tab&amp;search_scope=EVERYTHING&amp;vid=01CRU&amp;lang=en_US&amp;offset=0&amp;query=any,contains,991002713939702656","Catalog Record")</f>
        <v>Catalog Record</v>
      </c>
      <c r="AT495" s="6" t="str">
        <f>HYPERLINK("http://www.worldcat.org/oclc/35593922","WorldCat Record")</f>
        <v>WorldCat Record</v>
      </c>
      <c r="AU495" s="3" t="s">
        <v>5872</v>
      </c>
      <c r="AV495" s="3" t="s">
        <v>5873</v>
      </c>
      <c r="AW495" s="3" t="s">
        <v>5874</v>
      </c>
      <c r="AX495" s="3" t="s">
        <v>5874</v>
      </c>
      <c r="AY495" s="3" t="s">
        <v>5875</v>
      </c>
      <c r="AZ495" s="3" t="s">
        <v>75</v>
      </c>
      <c r="BB495" s="3" t="s">
        <v>5876</v>
      </c>
      <c r="BC495" s="3" t="s">
        <v>5877</v>
      </c>
      <c r="BD495" s="3" t="s">
        <v>5878</v>
      </c>
    </row>
    <row r="496" spans="1:56" ht="44.25" customHeight="1" x14ac:dyDescent="0.25">
      <c r="A496" s="7" t="s">
        <v>61</v>
      </c>
      <c r="B496" s="2" t="s">
        <v>5879</v>
      </c>
      <c r="C496" s="2" t="s">
        <v>5880</v>
      </c>
      <c r="D496" s="2" t="s">
        <v>5881</v>
      </c>
      <c r="E496" s="3" t="s">
        <v>84</v>
      </c>
      <c r="F496" s="3" t="s">
        <v>59</v>
      </c>
      <c r="G496" s="3" t="s">
        <v>60</v>
      </c>
      <c r="H496" s="3" t="s">
        <v>61</v>
      </c>
      <c r="I496" s="3" t="s">
        <v>61</v>
      </c>
      <c r="J496" s="3" t="s">
        <v>62</v>
      </c>
      <c r="K496" s="2" t="s">
        <v>5882</v>
      </c>
      <c r="L496" s="2" t="s">
        <v>5883</v>
      </c>
      <c r="M496" s="3" t="s">
        <v>5884</v>
      </c>
      <c r="O496" s="3" t="s">
        <v>114</v>
      </c>
      <c r="P496" s="3" t="s">
        <v>67</v>
      </c>
      <c r="R496" s="3" t="s">
        <v>68</v>
      </c>
      <c r="S496" s="4">
        <v>0</v>
      </c>
      <c r="T496" s="4">
        <v>1</v>
      </c>
      <c r="V496" s="5" t="s">
        <v>4364</v>
      </c>
      <c r="W496" s="5" t="s">
        <v>5327</v>
      </c>
      <c r="X496" s="5" t="s">
        <v>5327</v>
      </c>
      <c r="Y496" s="4">
        <v>102</v>
      </c>
      <c r="Z496" s="4">
        <v>70</v>
      </c>
      <c r="AA496" s="4">
        <v>89</v>
      </c>
      <c r="AB496" s="4">
        <v>2</v>
      </c>
      <c r="AC496" s="4">
        <v>2</v>
      </c>
      <c r="AD496" s="4">
        <v>5</v>
      </c>
      <c r="AE496" s="4">
        <v>5</v>
      </c>
      <c r="AF496" s="4">
        <v>0</v>
      </c>
      <c r="AG496" s="4">
        <v>0</v>
      </c>
      <c r="AH496" s="4">
        <v>1</v>
      </c>
      <c r="AI496" s="4">
        <v>1</v>
      </c>
      <c r="AJ496" s="4">
        <v>4</v>
      </c>
      <c r="AK496" s="4">
        <v>4</v>
      </c>
      <c r="AL496" s="4">
        <v>1</v>
      </c>
      <c r="AM496" s="4">
        <v>1</v>
      </c>
      <c r="AN496" s="4">
        <v>0</v>
      </c>
      <c r="AO496" s="4">
        <v>0</v>
      </c>
      <c r="AP496" s="3" t="s">
        <v>59</v>
      </c>
      <c r="AQ496" s="3" t="s">
        <v>61</v>
      </c>
      <c r="AR496" s="6" t="str">
        <f>HYPERLINK("http://catalog.hathitrust.org/Record/007698094","HathiTrust Record")</f>
        <v>HathiTrust Record</v>
      </c>
      <c r="AS496" s="6" t="str">
        <f>HYPERLINK("https://creighton-primo.hosted.exlibrisgroup.com/primo-explore/search?tab=default_tab&amp;search_scope=EVERYTHING&amp;vid=01CRU&amp;lang=en_US&amp;offset=0&amp;query=any,contains,991004329599702656","Catalog Record")</f>
        <v>Catalog Record</v>
      </c>
      <c r="AT496" s="6" t="str">
        <f>HYPERLINK("http://www.worldcat.org/oclc/3054997","WorldCat Record")</f>
        <v>WorldCat Record</v>
      </c>
      <c r="AU496" s="3" t="s">
        <v>5885</v>
      </c>
      <c r="AV496" s="3" t="s">
        <v>5886</v>
      </c>
      <c r="AW496" s="3" t="s">
        <v>5887</v>
      </c>
      <c r="AX496" s="3" t="s">
        <v>5887</v>
      </c>
      <c r="AY496" s="3" t="s">
        <v>5888</v>
      </c>
      <c r="AZ496" s="3" t="s">
        <v>75</v>
      </c>
      <c r="BC496" s="3" t="s">
        <v>5889</v>
      </c>
      <c r="BD496" s="3" t="s">
        <v>5890</v>
      </c>
    </row>
    <row r="497" spans="1:56" ht="44.25" customHeight="1" x14ac:dyDescent="0.25">
      <c r="A497" s="7" t="s">
        <v>61</v>
      </c>
      <c r="B497" s="2" t="s">
        <v>5879</v>
      </c>
      <c r="C497" s="2" t="s">
        <v>5880</v>
      </c>
      <c r="D497" s="2" t="s">
        <v>5881</v>
      </c>
      <c r="E497" s="3" t="s">
        <v>141</v>
      </c>
      <c r="F497" s="3" t="s">
        <v>59</v>
      </c>
      <c r="G497" s="3" t="s">
        <v>60</v>
      </c>
      <c r="H497" s="3" t="s">
        <v>61</v>
      </c>
      <c r="I497" s="3" t="s">
        <v>61</v>
      </c>
      <c r="J497" s="3" t="s">
        <v>62</v>
      </c>
      <c r="K497" s="2" t="s">
        <v>5882</v>
      </c>
      <c r="L497" s="2" t="s">
        <v>5883</v>
      </c>
      <c r="M497" s="3" t="s">
        <v>5884</v>
      </c>
      <c r="O497" s="3" t="s">
        <v>114</v>
      </c>
      <c r="P497" s="3" t="s">
        <v>67</v>
      </c>
      <c r="R497" s="3" t="s">
        <v>68</v>
      </c>
      <c r="S497" s="4">
        <v>1</v>
      </c>
      <c r="T497" s="4">
        <v>1</v>
      </c>
      <c r="U497" s="5" t="s">
        <v>4364</v>
      </c>
      <c r="V497" s="5" t="s">
        <v>4364</v>
      </c>
      <c r="W497" s="5" t="s">
        <v>5327</v>
      </c>
      <c r="X497" s="5" t="s">
        <v>5327</v>
      </c>
      <c r="Y497" s="4">
        <v>102</v>
      </c>
      <c r="Z497" s="4">
        <v>70</v>
      </c>
      <c r="AA497" s="4">
        <v>89</v>
      </c>
      <c r="AB497" s="4">
        <v>2</v>
      </c>
      <c r="AC497" s="4">
        <v>2</v>
      </c>
      <c r="AD497" s="4">
        <v>5</v>
      </c>
      <c r="AE497" s="4">
        <v>5</v>
      </c>
      <c r="AF497" s="4">
        <v>0</v>
      </c>
      <c r="AG497" s="4">
        <v>0</v>
      </c>
      <c r="AH497" s="4">
        <v>1</v>
      </c>
      <c r="AI497" s="4">
        <v>1</v>
      </c>
      <c r="AJ497" s="4">
        <v>4</v>
      </c>
      <c r="AK497" s="4">
        <v>4</v>
      </c>
      <c r="AL497" s="4">
        <v>1</v>
      </c>
      <c r="AM497" s="4">
        <v>1</v>
      </c>
      <c r="AN497" s="4">
        <v>0</v>
      </c>
      <c r="AO497" s="4">
        <v>0</v>
      </c>
      <c r="AP497" s="3" t="s">
        <v>59</v>
      </c>
      <c r="AQ497" s="3" t="s">
        <v>61</v>
      </c>
      <c r="AR497" s="6" t="str">
        <f>HYPERLINK("http://catalog.hathitrust.org/Record/007698094","HathiTrust Record")</f>
        <v>HathiTrust Record</v>
      </c>
      <c r="AS497" s="6" t="str">
        <f>HYPERLINK("https://creighton-primo.hosted.exlibrisgroup.com/primo-explore/search?tab=default_tab&amp;search_scope=EVERYTHING&amp;vid=01CRU&amp;lang=en_US&amp;offset=0&amp;query=any,contains,991004329599702656","Catalog Record")</f>
        <v>Catalog Record</v>
      </c>
      <c r="AT497" s="6" t="str">
        <f>HYPERLINK("http://www.worldcat.org/oclc/3054997","WorldCat Record")</f>
        <v>WorldCat Record</v>
      </c>
      <c r="AU497" s="3" t="s">
        <v>5885</v>
      </c>
      <c r="AV497" s="3" t="s">
        <v>5886</v>
      </c>
      <c r="AW497" s="3" t="s">
        <v>5887</v>
      </c>
      <c r="AX497" s="3" t="s">
        <v>5887</v>
      </c>
      <c r="AY497" s="3" t="s">
        <v>5888</v>
      </c>
      <c r="AZ497" s="3" t="s">
        <v>75</v>
      </c>
      <c r="BC497" s="3" t="s">
        <v>5891</v>
      </c>
      <c r="BD497" s="3" t="s">
        <v>5892</v>
      </c>
    </row>
    <row r="498" spans="1:56" ht="44.25" customHeight="1" x14ac:dyDescent="0.25">
      <c r="A498" s="7" t="s">
        <v>61</v>
      </c>
      <c r="B498" s="2" t="s">
        <v>5893</v>
      </c>
      <c r="C498" s="2" t="s">
        <v>5894</v>
      </c>
      <c r="D498" s="2" t="s">
        <v>5895</v>
      </c>
      <c r="E498" s="3" t="s">
        <v>84</v>
      </c>
      <c r="F498" s="3" t="s">
        <v>59</v>
      </c>
      <c r="G498" s="3" t="s">
        <v>60</v>
      </c>
      <c r="H498" s="3" t="s">
        <v>61</v>
      </c>
      <c r="I498" s="3" t="s">
        <v>61</v>
      </c>
      <c r="J498" s="3" t="s">
        <v>62</v>
      </c>
      <c r="K498" s="2" t="s">
        <v>5896</v>
      </c>
      <c r="L498" s="2" t="s">
        <v>5897</v>
      </c>
      <c r="M498" s="3" t="s">
        <v>5250</v>
      </c>
      <c r="O498" s="3" t="s">
        <v>114</v>
      </c>
      <c r="P498" s="3" t="s">
        <v>192</v>
      </c>
      <c r="R498" s="3" t="s">
        <v>68</v>
      </c>
      <c r="S498" s="4">
        <v>3</v>
      </c>
      <c r="T498" s="4">
        <v>3</v>
      </c>
      <c r="U498" s="5" t="s">
        <v>1320</v>
      </c>
      <c r="V498" s="5" t="s">
        <v>1320</v>
      </c>
      <c r="W498" s="5" t="s">
        <v>5898</v>
      </c>
      <c r="X498" s="5" t="s">
        <v>5898</v>
      </c>
      <c r="Y498" s="4">
        <v>609</v>
      </c>
      <c r="Z498" s="4">
        <v>539</v>
      </c>
      <c r="AA498" s="4">
        <v>1020</v>
      </c>
      <c r="AB498" s="4">
        <v>8</v>
      </c>
      <c r="AC498" s="4">
        <v>12</v>
      </c>
      <c r="AD498" s="4">
        <v>32</v>
      </c>
      <c r="AE498" s="4">
        <v>49</v>
      </c>
      <c r="AF498" s="4">
        <v>11</v>
      </c>
      <c r="AG498" s="4">
        <v>18</v>
      </c>
      <c r="AH498" s="4">
        <v>7</v>
      </c>
      <c r="AI498" s="4">
        <v>10</v>
      </c>
      <c r="AJ498" s="4">
        <v>14</v>
      </c>
      <c r="AK498" s="4">
        <v>25</v>
      </c>
      <c r="AL498" s="4">
        <v>7</v>
      </c>
      <c r="AM498" s="4">
        <v>9</v>
      </c>
      <c r="AN498" s="4">
        <v>0</v>
      </c>
      <c r="AO498" s="4">
        <v>0</v>
      </c>
      <c r="AP498" s="3" t="s">
        <v>61</v>
      </c>
      <c r="AQ498" s="3" t="s">
        <v>59</v>
      </c>
      <c r="AR498" s="6" t="str">
        <f>HYPERLINK("http://catalog.hathitrust.org/Record/000590136","HathiTrust Record")</f>
        <v>HathiTrust Record</v>
      </c>
      <c r="AS498" s="6" t="str">
        <f>HYPERLINK("https://creighton-primo.hosted.exlibrisgroup.com/primo-explore/search?tab=default_tab&amp;search_scope=EVERYTHING&amp;vid=01CRU&amp;lang=en_US&amp;offset=0&amp;query=any,contains,991003306419702656","Catalog Record")</f>
        <v>Catalog Record</v>
      </c>
      <c r="AT498" s="6" t="str">
        <f>HYPERLINK("http://www.worldcat.org/oclc/829936","WorldCat Record")</f>
        <v>WorldCat Record</v>
      </c>
      <c r="AU498" s="3" t="s">
        <v>5899</v>
      </c>
      <c r="AV498" s="3" t="s">
        <v>5900</v>
      </c>
      <c r="AW498" s="3" t="s">
        <v>5901</v>
      </c>
      <c r="AX498" s="3" t="s">
        <v>5901</v>
      </c>
      <c r="AY498" s="3" t="s">
        <v>5902</v>
      </c>
      <c r="AZ498" s="3" t="s">
        <v>75</v>
      </c>
      <c r="BC498" s="3" t="s">
        <v>5903</v>
      </c>
      <c r="BD498" s="3" t="s">
        <v>5904</v>
      </c>
    </row>
    <row r="499" spans="1:56" ht="44.25" customHeight="1" x14ac:dyDescent="0.25">
      <c r="A499" s="7" t="s">
        <v>61</v>
      </c>
      <c r="B499" s="2" t="s">
        <v>5893</v>
      </c>
      <c r="C499" s="2" t="s">
        <v>5894</v>
      </c>
      <c r="D499" s="2" t="s">
        <v>5895</v>
      </c>
      <c r="E499" s="3" t="s">
        <v>141</v>
      </c>
      <c r="F499" s="3" t="s">
        <v>59</v>
      </c>
      <c r="G499" s="3" t="s">
        <v>60</v>
      </c>
      <c r="H499" s="3" t="s">
        <v>61</v>
      </c>
      <c r="I499" s="3" t="s">
        <v>61</v>
      </c>
      <c r="J499" s="3" t="s">
        <v>62</v>
      </c>
      <c r="K499" s="2" t="s">
        <v>5896</v>
      </c>
      <c r="L499" s="2" t="s">
        <v>5897</v>
      </c>
      <c r="M499" s="3" t="s">
        <v>5250</v>
      </c>
      <c r="O499" s="3" t="s">
        <v>114</v>
      </c>
      <c r="P499" s="3" t="s">
        <v>192</v>
      </c>
      <c r="R499" s="3" t="s">
        <v>68</v>
      </c>
      <c r="S499" s="4">
        <v>0</v>
      </c>
      <c r="T499" s="4">
        <v>3</v>
      </c>
      <c r="V499" s="5" t="s">
        <v>1320</v>
      </c>
      <c r="W499" s="5" t="s">
        <v>5898</v>
      </c>
      <c r="X499" s="5" t="s">
        <v>5898</v>
      </c>
      <c r="Y499" s="4">
        <v>609</v>
      </c>
      <c r="Z499" s="4">
        <v>539</v>
      </c>
      <c r="AA499" s="4">
        <v>1020</v>
      </c>
      <c r="AB499" s="4">
        <v>8</v>
      </c>
      <c r="AC499" s="4">
        <v>12</v>
      </c>
      <c r="AD499" s="4">
        <v>32</v>
      </c>
      <c r="AE499" s="4">
        <v>49</v>
      </c>
      <c r="AF499" s="4">
        <v>11</v>
      </c>
      <c r="AG499" s="4">
        <v>18</v>
      </c>
      <c r="AH499" s="4">
        <v>7</v>
      </c>
      <c r="AI499" s="4">
        <v>10</v>
      </c>
      <c r="AJ499" s="4">
        <v>14</v>
      </c>
      <c r="AK499" s="4">
        <v>25</v>
      </c>
      <c r="AL499" s="4">
        <v>7</v>
      </c>
      <c r="AM499" s="4">
        <v>9</v>
      </c>
      <c r="AN499" s="4">
        <v>0</v>
      </c>
      <c r="AO499" s="4">
        <v>0</v>
      </c>
      <c r="AP499" s="3" t="s">
        <v>61</v>
      </c>
      <c r="AQ499" s="3" t="s">
        <v>59</v>
      </c>
      <c r="AR499" s="6" t="str">
        <f>HYPERLINK("http://catalog.hathitrust.org/Record/000590136","HathiTrust Record")</f>
        <v>HathiTrust Record</v>
      </c>
      <c r="AS499" s="6" t="str">
        <f>HYPERLINK("https://creighton-primo.hosted.exlibrisgroup.com/primo-explore/search?tab=default_tab&amp;search_scope=EVERYTHING&amp;vid=01CRU&amp;lang=en_US&amp;offset=0&amp;query=any,contains,991003306419702656","Catalog Record")</f>
        <v>Catalog Record</v>
      </c>
      <c r="AT499" s="6" t="str">
        <f>HYPERLINK("http://www.worldcat.org/oclc/829936","WorldCat Record")</f>
        <v>WorldCat Record</v>
      </c>
      <c r="AU499" s="3" t="s">
        <v>5899</v>
      </c>
      <c r="AV499" s="3" t="s">
        <v>5900</v>
      </c>
      <c r="AW499" s="3" t="s">
        <v>5901</v>
      </c>
      <c r="AX499" s="3" t="s">
        <v>5901</v>
      </c>
      <c r="AY499" s="3" t="s">
        <v>5902</v>
      </c>
      <c r="AZ499" s="3" t="s">
        <v>75</v>
      </c>
      <c r="BC499" s="3" t="s">
        <v>5905</v>
      </c>
      <c r="BD499" s="3" t="s">
        <v>5906</v>
      </c>
    </row>
    <row r="500" spans="1:56" ht="44.25" customHeight="1" x14ac:dyDescent="0.25">
      <c r="A500" s="7" t="s">
        <v>61</v>
      </c>
      <c r="B500" s="2" t="s">
        <v>5907</v>
      </c>
      <c r="C500" s="2" t="s">
        <v>5908</v>
      </c>
      <c r="D500" s="2" t="s">
        <v>5909</v>
      </c>
      <c r="E500" s="3" t="s">
        <v>84</v>
      </c>
      <c r="F500" s="3" t="s">
        <v>59</v>
      </c>
      <c r="G500" s="3" t="s">
        <v>60</v>
      </c>
      <c r="H500" s="3" t="s">
        <v>61</v>
      </c>
      <c r="I500" s="3" t="s">
        <v>61</v>
      </c>
      <c r="J500" s="3" t="s">
        <v>62</v>
      </c>
      <c r="K500" s="2" t="s">
        <v>5910</v>
      </c>
      <c r="L500" s="2" t="s">
        <v>5911</v>
      </c>
      <c r="M500" s="3" t="s">
        <v>942</v>
      </c>
      <c r="O500" s="3" t="s">
        <v>114</v>
      </c>
      <c r="P500" s="3" t="s">
        <v>235</v>
      </c>
      <c r="Q500" s="2" t="s">
        <v>5912</v>
      </c>
      <c r="R500" s="3" t="s">
        <v>68</v>
      </c>
      <c r="S500" s="4">
        <v>2</v>
      </c>
      <c r="T500" s="4">
        <v>2</v>
      </c>
      <c r="U500" s="5" t="s">
        <v>5913</v>
      </c>
      <c r="V500" s="5" t="s">
        <v>5913</v>
      </c>
      <c r="W500" s="5" t="s">
        <v>5327</v>
      </c>
      <c r="X500" s="5" t="s">
        <v>5327</v>
      </c>
      <c r="Y500" s="4">
        <v>719</v>
      </c>
      <c r="Z500" s="4">
        <v>657</v>
      </c>
      <c r="AA500" s="4">
        <v>665</v>
      </c>
      <c r="AB500" s="4">
        <v>6</v>
      </c>
      <c r="AC500" s="4">
        <v>6</v>
      </c>
      <c r="AD500" s="4">
        <v>26</v>
      </c>
      <c r="AE500" s="4">
        <v>26</v>
      </c>
      <c r="AF500" s="4">
        <v>9</v>
      </c>
      <c r="AG500" s="4">
        <v>9</v>
      </c>
      <c r="AH500" s="4">
        <v>4</v>
      </c>
      <c r="AI500" s="4">
        <v>4</v>
      </c>
      <c r="AJ500" s="4">
        <v>12</v>
      </c>
      <c r="AK500" s="4">
        <v>12</v>
      </c>
      <c r="AL500" s="4">
        <v>5</v>
      </c>
      <c r="AM500" s="4">
        <v>5</v>
      </c>
      <c r="AN500" s="4">
        <v>0</v>
      </c>
      <c r="AO500" s="4">
        <v>0</v>
      </c>
      <c r="AP500" s="3" t="s">
        <v>61</v>
      </c>
      <c r="AQ500" s="3" t="s">
        <v>59</v>
      </c>
      <c r="AR500" s="6" t="str">
        <f>HYPERLINK("http://catalog.hathitrust.org/Record/000590183","HathiTrust Record")</f>
        <v>HathiTrust Record</v>
      </c>
      <c r="AS500" s="6" t="str">
        <f>HYPERLINK("https://creighton-primo.hosted.exlibrisgroup.com/primo-explore/search?tab=default_tab&amp;search_scope=EVERYTHING&amp;vid=01CRU&amp;lang=en_US&amp;offset=0&amp;query=any,contains,991002663659702656","Catalog Record")</f>
        <v>Catalog Record</v>
      </c>
      <c r="AT500" s="6" t="str">
        <f>HYPERLINK("http://www.worldcat.org/oclc/392286","WorldCat Record")</f>
        <v>WorldCat Record</v>
      </c>
      <c r="AU500" s="3" t="s">
        <v>5914</v>
      </c>
      <c r="AV500" s="3" t="s">
        <v>5915</v>
      </c>
      <c r="AW500" s="3" t="s">
        <v>5916</v>
      </c>
      <c r="AX500" s="3" t="s">
        <v>5916</v>
      </c>
      <c r="AY500" s="3" t="s">
        <v>5917</v>
      </c>
      <c r="AZ500" s="3" t="s">
        <v>75</v>
      </c>
      <c r="BC500" s="3" t="s">
        <v>5918</v>
      </c>
      <c r="BD500" s="3" t="s">
        <v>5919</v>
      </c>
    </row>
    <row r="501" spans="1:56" ht="44.25" customHeight="1" x14ac:dyDescent="0.25">
      <c r="A501" s="7" t="s">
        <v>61</v>
      </c>
      <c r="B501" s="2" t="s">
        <v>5920</v>
      </c>
      <c r="C501" s="2" t="s">
        <v>5921</v>
      </c>
      <c r="D501" s="2" t="s">
        <v>5922</v>
      </c>
      <c r="E501" s="3" t="s">
        <v>5923</v>
      </c>
      <c r="F501" s="3" t="s">
        <v>59</v>
      </c>
      <c r="G501" s="3" t="s">
        <v>60</v>
      </c>
      <c r="H501" s="3" t="s">
        <v>61</v>
      </c>
      <c r="I501" s="3" t="s">
        <v>61</v>
      </c>
      <c r="J501" s="3" t="s">
        <v>62</v>
      </c>
      <c r="K501" s="2" t="s">
        <v>5924</v>
      </c>
      <c r="L501" s="2" t="s">
        <v>5925</v>
      </c>
      <c r="M501" s="3" t="s">
        <v>5238</v>
      </c>
      <c r="O501" s="3" t="s">
        <v>114</v>
      </c>
      <c r="P501" s="3" t="s">
        <v>67</v>
      </c>
      <c r="R501" s="3" t="s">
        <v>68</v>
      </c>
      <c r="S501" s="4">
        <v>0</v>
      </c>
      <c r="T501" s="4">
        <v>2</v>
      </c>
      <c r="V501" s="5" t="s">
        <v>4966</v>
      </c>
      <c r="W501" s="5" t="s">
        <v>2653</v>
      </c>
      <c r="X501" s="5" t="s">
        <v>2653</v>
      </c>
      <c r="Y501" s="4">
        <v>101</v>
      </c>
      <c r="Z501" s="4">
        <v>97</v>
      </c>
      <c r="AA501" s="4">
        <v>97</v>
      </c>
      <c r="AB501" s="4">
        <v>1</v>
      </c>
      <c r="AC501" s="4">
        <v>1</v>
      </c>
      <c r="AD501" s="4">
        <v>1</v>
      </c>
      <c r="AE501" s="4">
        <v>1</v>
      </c>
      <c r="AF501" s="4">
        <v>1</v>
      </c>
      <c r="AG501" s="4">
        <v>1</v>
      </c>
      <c r="AH501" s="4">
        <v>0</v>
      </c>
      <c r="AI501" s="4">
        <v>0</v>
      </c>
      <c r="AJ501" s="4">
        <v>1</v>
      </c>
      <c r="AK501" s="4">
        <v>1</v>
      </c>
      <c r="AL501" s="4">
        <v>0</v>
      </c>
      <c r="AM501" s="4">
        <v>0</v>
      </c>
      <c r="AN501" s="4">
        <v>0</v>
      </c>
      <c r="AO501" s="4">
        <v>0</v>
      </c>
      <c r="AP501" s="3" t="s">
        <v>61</v>
      </c>
      <c r="AQ501" s="3" t="s">
        <v>61</v>
      </c>
      <c r="AS501" s="6" t="str">
        <f>HYPERLINK("https://creighton-primo.hosted.exlibrisgroup.com/primo-explore/search?tab=default_tab&amp;search_scope=EVERYTHING&amp;vid=01CRU&amp;lang=en_US&amp;offset=0&amp;query=any,contains,991002738979702656","Catalog Record")</f>
        <v>Catalog Record</v>
      </c>
      <c r="AT501" s="6" t="str">
        <f>HYPERLINK("http://www.worldcat.org/oclc/420346","WorldCat Record")</f>
        <v>WorldCat Record</v>
      </c>
      <c r="AU501" s="3" t="s">
        <v>5926</v>
      </c>
      <c r="AV501" s="3" t="s">
        <v>5927</v>
      </c>
      <c r="AW501" s="3" t="s">
        <v>5928</v>
      </c>
      <c r="AX501" s="3" t="s">
        <v>5928</v>
      </c>
      <c r="AY501" s="3" t="s">
        <v>5929</v>
      </c>
      <c r="AZ501" s="3" t="s">
        <v>75</v>
      </c>
      <c r="BC501" s="3" t="s">
        <v>5930</v>
      </c>
      <c r="BD501" s="3" t="s">
        <v>5931</v>
      </c>
    </row>
    <row r="502" spans="1:56" ht="44.25" customHeight="1" x14ac:dyDescent="0.25">
      <c r="A502" s="7" t="s">
        <v>61</v>
      </c>
      <c r="B502" s="2" t="s">
        <v>5920</v>
      </c>
      <c r="C502" s="2" t="s">
        <v>5921</v>
      </c>
      <c r="D502" s="2" t="s">
        <v>5922</v>
      </c>
      <c r="E502" s="3" t="s">
        <v>5932</v>
      </c>
      <c r="F502" s="3" t="s">
        <v>59</v>
      </c>
      <c r="G502" s="3" t="s">
        <v>60</v>
      </c>
      <c r="H502" s="3" t="s">
        <v>61</v>
      </c>
      <c r="I502" s="3" t="s">
        <v>61</v>
      </c>
      <c r="J502" s="3" t="s">
        <v>62</v>
      </c>
      <c r="K502" s="2" t="s">
        <v>5924</v>
      </c>
      <c r="L502" s="2" t="s">
        <v>5925</v>
      </c>
      <c r="M502" s="3" t="s">
        <v>5238</v>
      </c>
      <c r="O502" s="3" t="s">
        <v>114</v>
      </c>
      <c r="P502" s="3" t="s">
        <v>67</v>
      </c>
      <c r="R502" s="3" t="s">
        <v>68</v>
      </c>
      <c r="S502" s="4">
        <v>0</v>
      </c>
      <c r="T502" s="4">
        <v>2</v>
      </c>
      <c r="V502" s="5" t="s">
        <v>4966</v>
      </c>
      <c r="W502" s="5" t="s">
        <v>2653</v>
      </c>
      <c r="X502" s="5" t="s">
        <v>2653</v>
      </c>
      <c r="Y502" s="4">
        <v>101</v>
      </c>
      <c r="Z502" s="4">
        <v>97</v>
      </c>
      <c r="AA502" s="4">
        <v>97</v>
      </c>
      <c r="AB502" s="4">
        <v>1</v>
      </c>
      <c r="AC502" s="4">
        <v>1</v>
      </c>
      <c r="AD502" s="4">
        <v>1</v>
      </c>
      <c r="AE502" s="4">
        <v>1</v>
      </c>
      <c r="AF502" s="4">
        <v>1</v>
      </c>
      <c r="AG502" s="4">
        <v>1</v>
      </c>
      <c r="AH502" s="4">
        <v>0</v>
      </c>
      <c r="AI502" s="4">
        <v>0</v>
      </c>
      <c r="AJ502" s="4">
        <v>1</v>
      </c>
      <c r="AK502" s="4">
        <v>1</v>
      </c>
      <c r="AL502" s="4">
        <v>0</v>
      </c>
      <c r="AM502" s="4">
        <v>0</v>
      </c>
      <c r="AN502" s="4">
        <v>0</v>
      </c>
      <c r="AO502" s="4">
        <v>0</v>
      </c>
      <c r="AP502" s="3" t="s">
        <v>61</v>
      </c>
      <c r="AQ502" s="3" t="s">
        <v>61</v>
      </c>
      <c r="AS502" s="6" t="str">
        <f>HYPERLINK("https://creighton-primo.hosted.exlibrisgroup.com/primo-explore/search?tab=default_tab&amp;search_scope=EVERYTHING&amp;vid=01CRU&amp;lang=en_US&amp;offset=0&amp;query=any,contains,991002738979702656","Catalog Record")</f>
        <v>Catalog Record</v>
      </c>
      <c r="AT502" s="6" t="str">
        <f>HYPERLINK("http://www.worldcat.org/oclc/420346","WorldCat Record")</f>
        <v>WorldCat Record</v>
      </c>
      <c r="AU502" s="3" t="s">
        <v>5926</v>
      </c>
      <c r="AV502" s="3" t="s">
        <v>5927</v>
      </c>
      <c r="AW502" s="3" t="s">
        <v>5928</v>
      </c>
      <c r="AX502" s="3" t="s">
        <v>5928</v>
      </c>
      <c r="AY502" s="3" t="s">
        <v>5929</v>
      </c>
      <c r="AZ502" s="3" t="s">
        <v>75</v>
      </c>
      <c r="BC502" s="3" t="s">
        <v>5933</v>
      </c>
      <c r="BD502" s="3" t="s">
        <v>5934</v>
      </c>
    </row>
    <row r="503" spans="1:56" ht="44.25" customHeight="1" x14ac:dyDescent="0.25">
      <c r="A503" s="7" t="s">
        <v>61</v>
      </c>
      <c r="B503" s="2" t="s">
        <v>5920</v>
      </c>
      <c r="C503" s="2" t="s">
        <v>5921</v>
      </c>
      <c r="D503" s="2" t="s">
        <v>5922</v>
      </c>
      <c r="E503" s="3" t="s">
        <v>84</v>
      </c>
      <c r="F503" s="3" t="s">
        <v>59</v>
      </c>
      <c r="G503" s="3" t="s">
        <v>60</v>
      </c>
      <c r="H503" s="3" t="s">
        <v>61</v>
      </c>
      <c r="I503" s="3" t="s">
        <v>61</v>
      </c>
      <c r="J503" s="3" t="s">
        <v>62</v>
      </c>
      <c r="K503" s="2" t="s">
        <v>5924</v>
      </c>
      <c r="L503" s="2" t="s">
        <v>5925</v>
      </c>
      <c r="M503" s="3" t="s">
        <v>5238</v>
      </c>
      <c r="O503" s="3" t="s">
        <v>114</v>
      </c>
      <c r="P503" s="3" t="s">
        <v>67</v>
      </c>
      <c r="R503" s="3" t="s">
        <v>68</v>
      </c>
      <c r="S503" s="4">
        <v>2</v>
      </c>
      <c r="T503" s="4">
        <v>2</v>
      </c>
      <c r="U503" s="5" t="s">
        <v>4966</v>
      </c>
      <c r="V503" s="5" t="s">
        <v>4966</v>
      </c>
      <c r="W503" s="5" t="s">
        <v>2653</v>
      </c>
      <c r="X503" s="5" t="s">
        <v>2653</v>
      </c>
      <c r="Y503" s="4">
        <v>101</v>
      </c>
      <c r="Z503" s="4">
        <v>97</v>
      </c>
      <c r="AA503" s="4">
        <v>97</v>
      </c>
      <c r="AB503" s="4">
        <v>1</v>
      </c>
      <c r="AC503" s="4">
        <v>1</v>
      </c>
      <c r="AD503" s="4">
        <v>1</v>
      </c>
      <c r="AE503" s="4">
        <v>1</v>
      </c>
      <c r="AF503" s="4">
        <v>1</v>
      </c>
      <c r="AG503" s="4">
        <v>1</v>
      </c>
      <c r="AH503" s="4">
        <v>0</v>
      </c>
      <c r="AI503" s="4">
        <v>0</v>
      </c>
      <c r="AJ503" s="4">
        <v>1</v>
      </c>
      <c r="AK503" s="4">
        <v>1</v>
      </c>
      <c r="AL503" s="4">
        <v>0</v>
      </c>
      <c r="AM503" s="4">
        <v>0</v>
      </c>
      <c r="AN503" s="4">
        <v>0</v>
      </c>
      <c r="AO503" s="4">
        <v>0</v>
      </c>
      <c r="AP503" s="3" t="s">
        <v>61</v>
      </c>
      <c r="AQ503" s="3" t="s">
        <v>61</v>
      </c>
      <c r="AS503" s="6" t="str">
        <f>HYPERLINK("https://creighton-primo.hosted.exlibrisgroup.com/primo-explore/search?tab=default_tab&amp;search_scope=EVERYTHING&amp;vid=01CRU&amp;lang=en_US&amp;offset=0&amp;query=any,contains,991002738979702656","Catalog Record")</f>
        <v>Catalog Record</v>
      </c>
      <c r="AT503" s="6" t="str">
        <f>HYPERLINK("http://www.worldcat.org/oclc/420346","WorldCat Record")</f>
        <v>WorldCat Record</v>
      </c>
      <c r="AU503" s="3" t="s">
        <v>5926</v>
      </c>
      <c r="AV503" s="3" t="s">
        <v>5927</v>
      </c>
      <c r="AW503" s="3" t="s">
        <v>5928</v>
      </c>
      <c r="AX503" s="3" t="s">
        <v>5928</v>
      </c>
      <c r="AY503" s="3" t="s">
        <v>5929</v>
      </c>
      <c r="AZ503" s="3" t="s">
        <v>75</v>
      </c>
      <c r="BC503" s="3" t="s">
        <v>5935</v>
      </c>
      <c r="BD503" s="3" t="s">
        <v>5936</v>
      </c>
    </row>
    <row r="504" spans="1:56" ht="44.25" customHeight="1" x14ac:dyDescent="0.25">
      <c r="A504" s="7" t="s">
        <v>61</v>
      </c>
      <c r="B504" s="2" t="s">
        <v>5937</v>
      </c>
      <c r="C504" s="2" t="s">
        <v>5938</v>
      </c>
      <c r="D504" s="2" t="s">
        <v>5939</v>
      </c>
      <c r="F504" s="3" t="s">
        <v>61</v>
      </c>
      <c r="G504" s="3" t="s">
        <v>60</v>
      </c>
      <c r="H504" s="3" t="s">
        <v>61</v>
      </c>
      <c r="I504" s="3" t="s">
        <v>61</v>
      </c>
      <c r="J504" s="3" t="s">
        <v>62</v>
      </c>
      <c r="K504" s="2" t="s">
        <v>5940</v>
      </c>
      <c r="L504" s="2" t="s">
        <v>5941</v>
      </c>
      <c r="M504" s="3" t="s">
        <v>966</v>
      </c>
      <c r="O504" s="3" t="s">
        <v>114</v>
      </c>
      <c r="P504" s="3" t="s">
        <v>235</v>
      </c>
      <c r="R504" s="3" t="s">
        <v>68</v>
      </c>
      <c r="S504" s="4">
        <v>1</v>
      </c>
      <c r="T504" s="4">
        <v>1</v>
      </c>
      <c r="U504" s="5" t="s">
        <v>1787</v>
      </c>
      <c r="V504" s="5" t="s">
        <v>1787</v>
      </c>
      <c r="W504" s="5" t="s">
        <v>2653</v>
      </c>
      <c r="X504" s="5" t="s">
        <v>2653</v>
      </c>
      <c r="Y504" s="4">
        <v>197</v>
      </c>
      <c r="Z504" s="4">
        <v>186</v>
      </c>
      <c r="AA504" s="4">
        <v>205</v>
      </c>
      <c r="AB504" s="4">
        <v>2</v>
      </c>
      <c r="AC504" s="4">
        <v>2</v>
      </c>
      <c r="AD504" s="4">
        <v>4</v>
      </c>
      <c r="AE504" s="4">
        <v>5</v>
      </c>
      <c r="AF504" s="4">
        <v>1</v>
      </c>
      <c r="AG504" s="4">
        <v>1</v>
      </c>
      <c r="AH504" s="4">
        <v>0</v>
      </c>
      <c r="AI504" s="4">
        <v>1</v>
      </c>
      <c r="AJ504" s="4">
        <v>3</v>
      </c>
      <c r="AK504" s="4">
        <v>3</v>
      </c>
      <c r="AL504" s="4">
        <v>1</v>
      </c>
      <c r="AM504" s="4">
        <v>1</v>
      </c>
      <c r="AN504" s="4">
        <v>0</v>
      </c>
      <c r="AO504" s="4">
        <v>0</v>
      </c>
      <c r="AP504" s="3" t="s">
        <v>59</v>
      </c>
      <c r="AQ504" s="3" t="s">
        <v>61</v>
      </c>
      <c r="AR504" s="6" t="str">
        <f>HYPERLINK("http://catalog.hathitrust.org/Record/000420538","HathiTrust Record")</f>
        <v>HathiTrust Record</v>
      </c>
      <c r="AS504" s="6" t="str">
        <f>HYPERLINK("https://creighton-primo.hosted.exlibrisgroup.com/primo-explore/search?tab=default_tab&amp;search_scope=EVERYTHING&amp;vid=01CRU&amp;lang=en_US&amp;offset=0&amp;query=any,contains,991003605669702656","Catalog Record")</f>
        <v>Catalog Record</v>
      </c>
      <c r="AT504" s="6" t="str">
        <f>HYPERLINK("http://www.worldcat.org/oclc/1185428","WorldCat Record")</f>
        <v>WorldCat Record</v>
      </c>
      <c r="AU504" s="3" t="s">
        <v>5942</v>
      </c>
      <c r="AV504" s="3" t="s">
        <v>5943</v>
      </c>
      <c r="AW504" s="3" t="s">
        <v>5944</v>
      </c>
      <c r="AX504" s="3" t="s">
        <v>5944</v>
      </c>
      <c r="AY504" s="3" t="s">
        <v>5945</v>
      </c>
      <c r="AZ504" s="3" t="s">
        <v>75</v>
      </c>
      <c r="BC504" s="3" t="s">
        <v>5946</v>
      </c>
      <c r="BD504" s="3" t="s">
        <v>5947</v>
      </c>
    </row>
    <row r="505" spans="1:56" ht="44.25" customHeight="1" x14ac:dyDescent="0.25">
      <c r="A505" s="7" t="s">
        <v>61</v>
      </c>
      <c r="B505" s="2" t="s">
        <v>5948</v>
      </c>
      <c r="C505" s="2" t="s">
        <v>5949</v>
      </c>
      <c r="D505" s="2" t="s">
        <v>5950</v>
      </c>
      <c r="F505" s="3" t="s">
        <v>61</v>
      </c>
      <c r="G505" s="3" t="s">
        <v>60</v>
      </c>
      <c r="H505" s="3" t="s">
        <v>61</v>
      </c>
      <c r="I505" s="3" t="s">
        <v>61</v>
      </c>
      <c r="J505" s="3" t="s">
        <v>62</v>
      </c>
      <c r="K505" s="2" t="s">
        <v>5951</v>
      </c>
      <c r="L505" s="2" t="s">
        <v>5952</v>
      </c>
      <c r="M505" s="3" t="s">
        <v>4022</v>
      </c>
      <c r="O505" s="3" t="s">
        <v>114</v>
      </c>
      <c r="P505" s="3" t="s">
        <v>67</v>
      </c>
      <c r="R505" s="3" t="s">
        <v>68</v>
      </c>
      <c r="S505" s="4">
        <v>3</v>
      </c>
      <c r="T505" s="4">
        <v>3</v>
      </c>
      <c r="U505" s="5" t="s">
        <v>5953</v>
      </c>
      <c r="V505" s="5" t="s">
        <v>5953</v>
      </c>
      <c r="W505" s="5" t="s">
        <v>4083</v>
      </c>
      <c r="X505" s="5" t="s">
        <v>4083</v>
      </c>
      <c r="Y505" s="4">
        <v>277</v>
      </c>
      <c r="Z505" s="4">
        <v>260</v>
      </c>
      <c r="AA505" s="4">
        <v>543</v>
      </c>
      <c r="AB505" s="4">
        <v>3</v>
      </c>
      <c r="AC505" s="4">
        <v>5</v>
      </c>
      <c r="AD505" s="4">
        <v>12</v>
      </c>
      <c r="AE505" s="4">
        <v>25</v>
      </c>
      <c r="AF505" s="4">
        <v>4</v>
      </c>
      <c r="AG505" s="4">
        <v>10</v>
      </c>
      <c r="AH505" s="4">
        <v>3</v>
      </c>
      <c r="AI505" s="4">
        <v>5</v>
      </c>
      <c r="AJ505" s="4">
        <v>7</v>
      </c>
      <c r="AK505" s="4">
        <v>11</v>
      </c>
      <c r="AL505" s="4">
        <v>2</v>
      </c>
      <c r="AM505" s="4">
        <v>4</v>
      </c>
      <c r="AN505" s="4">
        <v>0</v>
      </c>
      <c r="AO505" s="4">
        <v>0</v>
      </c>
      <c r="AP505" s="3" t="s">
        <v>61</v>
      </c>
      <c r="AQ505" s="3" t="s">
        <v>59</v>
      </c>
      <c r="AR505" s="6" t="str">
        <f>HYPERLINK("http://catalog.hathitrust.org/Record/000440428","HathiTrust Record")</f>
        <v>HathiTrust Record</v>
      </c>
      <c r="AS505" s="6" t="str">
        <f>HYPERLINK("https://creighton-primo.hosted.exlibrisgroup.com/primo-explore/search?tab=default_tab&amp;search_scope=EVERYTHING&amp;vid=01CRU&amp;lang=en_US&amp;offset=0&amp;query=any,contains,991003562939702656","Catalog Record")</f>
        <v>Catalog Record</v>
      </c>
      <c r="AT505" s="6" t="str">
        <f>HYPERLINK("http://www.worldcat.org/oclc/1134516","WorldCat Record")</f>
        <v>WorldCat Record</v>
      </c>
      <c r="AU505" s="3" t="s">
        <v>5954</v>
      </c>
      <c r="AV505" s="3" t="s">
        <v>5955</v>
      </c>
      <c r="AW505" s="3" t="s">
        <v>5956</v>
      </c>
      <c r="AX505" s="3" t="s">
        <v>5956</v>
      </c>
      <c r="AY505" s="3" t="s">
        <v>5957</v>
      </c>
      <c r="AZ505" s="3" t="s">
        <v>75</v>
      </c>
      <c r="BC505" s="3" t="s">
        <v>5958</v>
      </c>
      <c r="BD505" s="3" t="s">
        <v>5959</v>
      </c>
    </row>
    <row r="506" spans="1:56" ht="44.25" customHeight="1" x14ac:dyDescent="0.25">
      <c r="A506" s="7" t="s">
        <v>61</v>
      </c>
      <c r="B506" s="2" t="s">
        <v>5960</v>
      </c>
      <c r="C506" s="2" t="s">
        <v>5961</v>
      </c>
      <c r="D506" s="2" t="s">
        <v>5962</v>
      </c>
      <c r="E506" s="3" t="s">
        <v>2263</v>
      </c>
      <c r="F506" s="3" t="s">
        <v>59</v>
      </c>
      <c r="G506" s="3" t="s">
        <v>60</v>
      </c>
      <c r="H506" s="3" t="s">
        <v>59</v>
      </c>
      <c r="I506" s="3" t="s">
        <v>61</v>
      </c>
      <c r="J506" s="3" t="s">
        <v>62</v>
      </c>
      <c r="K506" s="2" t="s">
        <v>5963</v>
      </c>
      <c r="L506" s="2" t="s">
        <v>5964</v>
      </c>
      <c r="M506" s="3" t="s">
        <v>4478</v>
      </c>
      <c r="O506" s="3" t="s">
        <v>114</v>
      </c>
      <c r="P506" s="3" t="s">
        <v>364</v>
      </c>
      <c r="R506" s="3" t="s">
        <v>68</v>
      </c>
      <c r="S506" s="4">
        <v>2</v>
      </c>
      <c r="T506" s="4">
        <v>3</v>
      </c>
      <c r="U506" s="5" t="s">
        <v>5965</v>
      </c>
      <c r="V506" s="5" t="s">
        <v>5965</v>
      </c>
      <c r="W506" s="5" t="s">
        <v>5690</v>
      </c>
      <c r="X506" s="5" t="s">
        <v>5966</v>
      </c>
      <c r="Y506" s="4">
        <v>243</v>
      </c>
      <c r="Z506" s="4">
        <v>242</v>
      </c>
      <c r="AA506" s="4">
        <v>546</v>
      </c>
      <c r="AB506" s="4">
        <v>4</v>
      </c>
      <c r="AC506" s="4">
        <v>6</v>
      </c>
      <c r="AD506" s="4">
        <v>10</v>
      </c>
      <c r="AE506" s="4">
        <v>21</v>
      </c>
      <c r="AF506" s="4">
        <v>3</v>
      </c>
      <c r="AG506" s="4">
        <v>7</v>
      </c>
      <c r="AH506" s="4">
        <v>2</v>
      </c>
      <c r="AI506" s="4">
        <v>4</v>
      </c>
      <c r="AJ506" s="4">
        <v>5</v>
      </c>
      <c r="AK506" s="4">
        <v>11</v>
      </c>
      <c r="AL506" s="4">
        <v>2</v>
      </c>
      <c r="AM506" s="4">
        <v>2</v>
      </c>
      <c r="AN506" s="4">
        <v>0</v>
      </c>
      <c r="AO506" s="4">
        <v>0</v>
      </c>
      <c r="AP506" s="3" t="s">
        <v>61</v>
      </c>
      <c r="AQ506" s="3" t="s">
        <v>59</v>
      </c>
      <c r="AR506" s="6" t="str">
        <f>HYPERLINK("http://catalog.hathitrust.org/Record/000019262","HathiTrust Record")</f>
        <v>HathiTrust Record</v>
      </c>
      <c r="AS506" s="6" t="str">
        <f>HYPERLINK("https://creighton-primo.hosted.exlibrisgroup.com/primo-explore/search?tab=default_tab&amp;search_scope=EVERYTHING&amp;vid=01CRU&amp;lang=en_US&amp;offset=0&amp;query=any,contains,991003724049702656","Catalog Record")</f>
        <v>Catalog Record</v>
      </c>
      <c r="AT506" s="6" t="str">
        <f>HYPERLINK("http://www.worldcat.org/oclc/1369431","WorldCat Record")</f>
        <v>WorldCat Record</v>
      </c>
      <c r="AU506" s="3" t="s">
        <v>5967</v>
      </c>
      <c r="AV506" s="3" t="s">
        <v>5968</v>
      </c>
      <c r="AW506" s="3" t="s">
        <v>5969</v>
      </c>
      <c r="AX506" s="3" t="s">
        <v>5969</v>
      </c>
      <c r="AY506" s="3" t="s">
        <v>5970</v>
      </c>
      <c r="AZ506" s="3" t="s">
        <v>75</v>
      </c>
      <c r="BC506" s="3" t="s">
        <v>5971</v>
      </c>
      <c r="BD506" s="3" t="s">
        <v>5972</v>
      </c>
    </row>
    <row r="507" spans="1:56" ht="44.25" customHeight="1" x14ac:dyDescent="0.25">
      <c r="A507" s="7" t="s">
        <v>61</v>
      </c>
      <c r="B507" s="2" t="s">
        <v>5960</v>
      </c>
      <c r="C507" s="2" t="s">
        <v>5961</v>
      </c>
      <c r="D507" s="2" t="s">
        <v>5962</v>
      </c>
      <c r="E507" s="3" t="s">
        <v>2273</v>
      </c>
      <c r="F507" s="3" t="s">
        <v>59</v>
      </c>
      <c r="G507" s="3" t="s">
        <v>60</v>
      </c>
      <c r="H507" s="3" t="s">
        <v>59</v>
      </c>
      <c r="I507" s="3" t="s">
        <v>61</v>
      </c>
      <c r="J507" s="3" t="s">
        <v>62</v>
      </c>
      <c r="K507" s="2" t="s">
        <v>5963</v>
      </c>
      <c r="L507" s="2" t="s">
        <v>5964</v>
      </c>
      <c r="M507" s="3" t="s">
        <v>4478</v>
      </c>
      <c r="O507" s="3" t="s">
        <v>114</v>
      </c>
      <c r="P507" s="3" t="s">
        <v>364</v>
      </c>
      <c r="R507" s="3" t="s">
        <v>68</v>
      </c>
      <c r="S507" s="4">
        <v>1</v>
      </c>
      <c r="T507" s="4">
        <v>3</v>
      </c>
      <c r="V507" s="5" t="s">
        <v>5965</v>
      </c>
      <c r="W507" s="5" t="s">
        <v>5690</v>
      </c>
      <c r="X507" s="5" t="s">
        <v>5966</v>
      </c>
      <c r="Y507" s="4">
        <v>243</v>
      </c>
      <c r="Z507" s="4">
        <v>242</v>
      </c>
      <c r="AA507" s="4">
        <v>546</v>
      </c>
      <c r="AB507" s="4">
        <v>4</v>
      </c>
      <c r="AC507" s="4">
        <v>6</v>
      </c>
      <c r="AD507" s="4">
        <v>10</v>
      </c>
      <c r="AE507" s="4">
        <v>21</v>
      </c>
      <c r="AF507" s="4">
        <v>3</v>
      </c>
      <c r="AG507" s="4">
        <v>7</v>
      </c>
      <c r="AH507" s="4">
        <v>2</v>
      </c>
      <c r="AI507" s="4">
        <v>4</v>
      </c>
      <c r="AJ507" s="4">
        <v>5</v>
      </c>
      <c r="AK507" s="4">
        <v>11</v>
      </c>
      <c r="AL507" s="4">
        <v>2</v>
      </c>
      <c r="AM507" s="4">
        <v>2</v>
      </c>
      <c r="AN507" s="4">
        <v>0</v>
      </c>
      <c r="AO507" s="4">
        <v>0</v>
      </c>
      <c r="AP507" s="3" t="s">
        <v>61</v>
      </c>
      <c r="AQ507" s="3" t="s">
        <v>59</v>
      </c>
      <c r="AR507" s="6" t="str">
        <f>HYPERLINK("http://catalog.hathitrust.org/Record/000019262","HathiTrust Record")</f>
        <v>HathiTrust Record</v>
      </c>
      <c r="AS507" s="6" t="str">
        <f>HYPERLINK("https://creighton-primo.hosted.exlibrisgroup.com/primo-explore/search?tab=default_tab&amp;search_scope=EVERYTHING&amp;vid=01CRU&amp;lang=en_US&amp;offset=0&amp;query=any,contains,991003724049702656","Catalog Record")</f>
        <v>Catalog Record</v>
      </c>
      <c r="AT507" s="6" t="str">
        <f>HYPERLINK("http://www.worldcat.org/oclc/1369431","WorldCat Record")</f>
        <v>WorldCat Record</v>
      </c>
      <c r="AU507" s="3" t="s">
        <v>5967</v>
      </c>
      <c r="AV507" s="3" t="s">
        <v>5968</v>
      </c>
      <c r="AW507" s="3" t="s">
        <v>5969</v>
      </c>
      <c r="AX507" s="3" t="s">
        <v>5969</v>
      </c>
      <c r="AY507" s="3" t="s">
        <v>5970</v>
      </c>
      <c r="AZ507" s="3" t="s">
        <v>75</v>
      </c>
      <c r="BC507" s="3" t="s">
        <v>5973</v>
      </c>
      <c r="BD507" s="3" t="s">
        <v>5974</v>
      </c>
    </row>
    <row r="508" spans="1:56" ht="44.25" customHeight="1" x14ac:dyDescent="0.25">
      <c r="A508" s="7" t="s">
        <v>61</v>
      </c>
      <c r="B508" s="2" t="s">
        <v>5975</v>
      </c>
      <c r="C508" s="2" t="s">
        <v>5976</v>
      </c>
      <c r="D508" s="2" t="s">
        <v>5977</v>
      </c>
      <c r="E508" s="3" t="s">
        <v>84</v>
      </c>
      <c r="F508" s="3" t="s">
        <v>59</v>
      </c>
      <c r="G508" s="3" t="s">
        <v>60</v>
      </c>
      <c r="H508" s="3" t="s">
        <v>61</v>
      </c>
      <c r="I508" s="3" t="s">
        <v>61</v>
      </c>
      <c r="J508" s="3" t="s">
        <v>62</v>
      </c>
      <c r="K508" s="2" t="s">
        <v>5647</v>
      </c>
      <c r="L508" s="2" t="s">
        <v>5978</v>
      </c>
      <c r="M508" s="3" t="s">
        <v>5238</v>
      </c>
      <c r="O508" s="3" t="s">
        <v>114</v>
      </c>
      <c r="P508" s="3" t="s">
        <v>235</v>
      </c>
      <c r="R508" s="3" t="s">
        <v>68</v>
      </c>
      <c r="S508" s="4">
        <v>2</v>
      </c>
      <c r="T508" s="4">
        <v>4</v>
      </c>
      <c r="U508" s="5" t="s">
        <v>5979</v>
      </c>
      <c r="V508" s="5" t="s">
        <v>5980</v>
      </c>
      <c r="W508" s="5" t="s">
        <v>4083</v>
      </c>
      <c r="X508" s="5" t="s">
        <v>4083</v>
      </c>
      <c r="Y508" s="4">
        <v>681</v>
      </c>
      <c r="Z508" s="4">
        <v>652</v>
      </c>
      <c r="AA508" s="4">
        <v>730</v>
      </c>
      <c r="AB508" s="4">
        <v>6</v>
      </c>
      <c r="AC508" s="4">
        <v>7</v>
      </c>
      <c r="AD508" s="4">
        <v>31</v>
      </c>
      <c r="AE508" s="4">
        <v>34</v>
      </c>
      <c r="AF508" s="4">
        <v>10</v>
      </c>
      <c r="AG508" s="4">
        <v>11</v>
      </c>
      <c r="AH508" s="4">
        <v>8</v>
      </c>
      <c r="AI508" s="4">
        <v>8</v>
      </c>
      <c r="AJ508" s="4">
        <v>15</v>
      </c>
      <c r="AK508" s="4">
        <v>16</v>
      </c>
      <c r="AL508" s="4">
        <v>5</v>
      </c>
      <c r="AM508" s="4">
        <v>6</v>
      </c>
      <c r="AN508" s="4">
        <v>1</v>
      </c>
      <c r="AO508" s="4">
        <v>1</v>
      </c>
      <c r="AP508" s="3" t="s">
        <v>59</v>
      </c>
      <c r="AQ508" s="3" t="s">
        <v>61</v>
      </c>
      <c r="AR508" s="6" t="str">
        <f>HYPERLINK("http://catalog.hathitrust.org/Record/000440048","HathiTrust Record")</f>
        <v>HathiTrust Record</v>
      </c>
      <c r="AS508" s="6" t="str">
        <f>HYPERLINK("https://creighton-primo.hosted.exlibrisgroup.com/primo-explore/search?tab=default_tab&amp;search_scope=EVERYTHING&amp;vid=01CRU&amp;lang=en_US&amp;offset=0&amp;query=any,contains,991005042589702656","Catalog Record")</f>
        <v>Catalog Record</v>
      </c>
      <c r="AT508" s="6" t="str">
        <f>HYPERLINK("http://www.worldcat.org/oclc/6810422","WorldCat Record")</f>
        <v>WorldCat Record</v>
      </c>
      <c r="AU508" s="3" t="s">
        <v>5981</v>
      </c>
      <c r="AV508" s="3" t="s">
        <v>5982</v>
      </c>
      <c r="AW508" s="3" t="s">
        <v>5983</v>
      </c>
      <c r="AX508" s="3" t="s">
        <v>5983</v>
      </c>
      <c r="AY508" s="3" t="s">
        <v>5984</v>
      </c>
      <c r="AZ508" s="3" t="s">
        <v>75</v>
      </c>
      <c r="BC508" s="3" t="s">
        <v>5985</v>
      </c>
      <c r="BD508" s="3" t="s">
        <v>5986</v>
      </c>
    </row>
    <row r="509" spans="1:56" ht="44.25" customHeight="1" x14ac:dyDescent="0.25">
      <c r="A509" s="7" t="s">
        <v>61</v>
      </c>
      <c r="B509" s="2" t="s">
        <v>5975</v>
      </c>
      <c r="C509" s="2" t="s">
        <v>5976</v>
      </c>
      <c r="D509" s="2" t="s">
        <v>5977</v>
      </c>
      <c r="E509" s="3" t="s">
        <v>141</v>
      </c>
      <c r="F509" s="3" t="s">
        <v>59</v>
      </c>
      <c r="G509" s="3" t="s">
        <v>60</v>
      </c>
      <c r="H509" s="3" t="s">
        <v>61</v>
      </c>
      <c r="I509" s="3" t="s">
        <v>61</v>
      </c>
      <c r="J509" s="3" t="s">
        <v>62</v>
      </c>
      <c r="K509" s="2" t="s">
        <v>5647</v>
      </c>
      <c r="L509" s="2" t="s">
        <v>5978</v>
      </c>
      <c r="M509" s="3" t="s">
        <v>5238</v>
      </c>
      <c r="O509" s="3" t="s">
        <v>114</v>
      </c>
      <c r="P509" s="3" t="s">
        <v>235</v>
      </c>
      <c r="R509" s="3" t="s">
        <v>68</v>
      </c>
      <c r="S509" s="4">
        <v>2</v>
      </c>
      <c r="T509" s="4">
        <v>4</v>
      </c>
      <c r="U509" s="5" t="s">
        <v>5980</v>
      </c>
      <c r="V509" s="5" t="s">
        <v>5980</v>
      </c>
      <c r="W509" s="5" t="s">
        <v>4083</v>
      </c>
      <c r="X509" s="5" t="s">
        <v>4083</v>
      </c>
      <c r="Y509" s="4">
        <v>681</v>
      </c>
      <c r="Z509" s="4">
        <v>652</v>
      </c>
      <c r="AA509" s="4">
        <v>730</v>
      </c>
      <c r="AB509" s="4">
        <v>6</v>
      </c>
      <c r="AC509" s="4">
        <v>7</v>
      </c>
      <c r="AD509" s="4">
        <v>31</v>
      </c>
      <c r="AE509" s="4">
        <v>34</v>
      </c>
      <c r="AF509" s="4">
        <v>10</v>
      </c>
      <c r="AG509" s="4">
        <v>11</v>
      </c>
      <c r="AH509" s="4">
        <v>8</v>
      </c>
      <c r="AI509" s="4">
        <v>8</v>
      </c>
      <c r="AJ509" s="4">
        <v>15</v>
      </c>
      <c r="AK509" s="4">
        <v>16</v>
      </c>
      <c r="AL509" s="4">
        <v>5</v>
      </c>
      <c r="AM509" s="4">
        <v>6</v>
      </c>
      <c r="AN509" s="4">
        <v>1</v>
      </c>
      <c r="AO509" s="4">
        <v>1</v>
      </c>
      <c r="AP509" s="3" t="s">
        <v>59</v>
      </c>
      <c r="AQ509" s="3" t="s">
        <v>61</v>
      </c>
      <c r="AR509" s="6" t="str">
        <f>HYPERLINK("http://catalog.hathitrust.org/Record/000440048","HathiTrust Record")</f>
        <v>HathiTrust Record</v>
      </c>
      <c r="AS509" s="6" t="str">
        <f>HYPERLINK("https://creighton-primo.hosted.exlibrisgroup.com/primo-explore/search?tab=default_tab&amp;search_scope=EVERYTHING&amp;vid=01CRU&amp;lang=en_US&amp;offset=0&amp;query=any,contains,991005042589702656","Catalog Record")</f>
        <v>Catalog Record</v>
      </c>
      <c r="AT509" s="6" t="str">
        <f>HYPERLINK("http://www.worldcat.org/oclc/6810422","WorldCat Record")</f>
        <v>WorldCat Record</v>
      </c>
      <c r="AU509" s="3" t="s">
        <v>5981</v>
      </c>
      <c r="AV509" s="3" t="s">
        <v>5982</v>
      </c>
      <c r="AW509" s="3" t="s">
        <v>5983</v>
      </c>
      <c r="AX509" s="3" t="s">
        <v>5983</v>
      </c>
      <c r="AY509" s="3" t="s">
        <v>5984</v>
      </c>
      <c r="AZ509" s="3" t="s">
        <v>75</v>
      </c>
      <c r="BC509" s="3" t="s">
        <v>5987</v>
      </c>
      <c r="BD509" s="3" t="s">
        <v>5988</v>
      </c>
    </row>
    <row r="510" spans="1:56" ht="44.25" customHeight="1" x14ac:dyDescent="0.25">
      <c r="A510" s="7" t="s">
        <v>61</v>
      </c>
      <c r="B510" s="2" t="s">
        <v>5989</v>
      </c>
      <c r="C510" s="2" t="s">
        <v>5990</v>
      </c>
      <c r="D510" s="2" t="s">
        <v>5991</v>
      </c>
      <c r="E510" s="3" t="s">
        <v>141</v>
      </c>
      <c r="F510" s="3" t="s">
        <v>59</v>
      </c>
      <c r="G510" s="3" t="s">
        <v>60</v>
      </c>
      <c r="H510" s="3" t="s">
        <v>61</v>
      </c>
      <c r="I510" s="3" t="s">
        <v>61</v>
      </c>
      <c r="J510" s="3" t="s">
        <v>62</v>
      </c>
      <c r="K510" s="2" t="s">
        <v>5992</v>
      </c>
      <c r="L510" s="2" t="s">
        <v>5993</v>
      </c>
      <c r="M510" s="3" t="s">
        <v>5238</v>
      </c>
      <c r="N510" s="2" t="s">
        <v>634</v>
      </c>
      <c r="O510" s="3" t="s">
        <v>114</v>
      </c>
      <c r="P510" s="3" t="s">
        <v>235</v>
      </c>
      <c r="R510" s="3" t="s">
        <v>68</v>
      </c>
      <c r="S510" s="4">
        <v>1</v>
      </c>
      <c r="T510" s="4">
        <v>3</v>
      </c>
      <c r="U510" s="5" t="s">
        <v>5994</v>
      </c>
      <c r="V510" s="5" t="s">
        <v>5995</v>
      </c>
      <c r="W510" s="5" t="s">
        <v>5535</v>
      </c>
      <c r="X510" s="5" t="s">
        <v>5535</v>
      </c>
      <c r="Y510" s="4">
        <v>1515</v>
      </c>
      <c r="Z510" s="4">
        <v>1447</v>
      </c>
      <c r="AA510" s="4">
        <v>1595</v>
      </c>
      <c r="AB510" s="4">
        <v>23</v>
      </c>
      <c r="AC510" s="4">
        <v>25</v>
      </c>
      <c r="AD510" s="4">
        <v>55</v>
      </c>
      <c r="AE510" s="4">
        <v>58</v>
      </c>
      <c r="AF510" s="4">
        <v>20</v>
      </c>
      <c r="AG510" s="4">
        <v>22</v>
      </c>
      <c r="AH510" s="4">
        <v>10</v>
      </c>
      <c r="AI510" s="4">
        <v>10</v>
      </c>
      <c r="AJ510" s="4">
        <v>23</v>
      </c>
      <c r="AK510" s="4">
        <v>24</v>
      </c>
      <c r="AL510" s="4">
        <v>12</v>
      </c>
      <c r="AM510" s="4">
        <v>12</v>
      </c>
      <c r="AN510" s="4">
        <v>3</v>
      </c>
      <c r="AO510" s="4">
        <v>3</v>
      </c>
      <c r="AP510" s="3" t="s">
        <v>61</v>
      </c>
      <c r="AQ510" s="3" t="s">
        <v>59</v>
      </c>
      <c r="AR510" s="6" t="str">
        <f>HYPERLINK("http://catalog.hathitrust.org/Record/000440166","HathiTrust Record")</f>
        <v>HathiTrust Record</v>
      </c>
      <c r="AS510" s="6" t="str">
        <f>HYPERLINK("https://creighton-primo.hosted.exlibrisgroup.com/primo-explore/search?tab=default_tab&amp;search_scope=EVERYTHING&amp;vid=01CRU&amp;lang=en_US&amp;offset=0&amp;query=any,contains,991002669689702656","Catalog Record")</f>
        <v>Catalog Record</v>
      </c>
      <c r="AT510" s="6" t="str">
        <f>HYPERLINK("http://www.worldcat.org/oclc/394688","WorldCat Record")</f>
        <v>WorldCat Record</v>
      </c>
      <c r="AU510" s="3" t="s">
        <v>5996</v>
      </c>
      <c r="AV510" s="3" t="s">
        <v>5997</v>
      </c>
      <c r="AW510" s="3" t="s">
        <v>5998</v>
      </c>
      <c r="AX510" s="3" t="s">
        <v>5998</v>
      </c>
      <c r="AY510" s="3" t="s">
        <v>5999</v>
      </c>
      <c r="AZ510" s="3" t="s">
        <v>75</v>
      </c>
      <c r="BC510" s="3" t="s">
        <v>6000</v>
      </c>
      <c r="BD510" s="3" t="s">
        <v>6001</v>
      </c>
    </row>
    <row r="511" spans="1:56" ht="44.25" customHeight="1" x14ac:dyDescent="0.25">
      <c r="A511" s="7" t="s">
        <v>61</v>
      </c>
      <c r="B511" s="2" t="s">
        <v>6002</v>
      </c>
      <c r="C511" s="2" t="s">
        <v>6003</v>
      </c>
      <c r="D511" s="2" t="s">
        <v>6004</v>
      </c>
      <c r="F511" s="3" t="s">
        <v>61</v>
      </c>
      <c r="G511" s="3" t="s">
        <v>60</v>
      </c>
      <c r="H511" s="3" t="s">
        <v>59</v>
      </c>
      <c r="I511" s="3" t="s">
        <v>61</v>
      </c>
      <c r="J511" s="3" t="s">
        <v>62</v>
      </c>
      <c r="K511" s="2" t="s">
        <v>6005</v>
      </c>
      <c r="L511" s="2" t="s">
        <v>6006</v>
      </c>
      <c r="M511" s="3" t="s">
        <v>6007</v>
      </c>
      <c r="N511" s="2" t="s">
        <v>634</v>
      </c>
      <c r="O511" s="3" t="s">
        <v>114</v>
      </c>
      <c r="P511" s="3" t="s">
        <v>1439</v>
      </c>
      <c r="R511" s="3" t="s">
        <v>68</v>
      </c>
      <c r="S511" s="4">
        <v>0</v>
      </c>
      <c r="T511" s="4">
        <v>1</v>
      </c>
      <c r="V511" s="5" t="s">
        <v>5994</v>
      </c>
      <c r="W511" s="5" t="s">
        <v>5535</v>
      </c>
      <c r="X511" s="5" t="s">
        <v>5535</v>
      </c>
      <c r="Y511" s="4">
        <v>191</v>
      </c>
      <c r="Z511" s="4">
        <v>191</v>
      </c>
      <c r="AA511" s="4">
        <v>228</v>
      </c>
      <c r="AB511" s="4">
        <v>1</v>
      </c>
      <c r="AC511" s="4">
        <v>2</v>
      </c>
      <c r="AD511" s="4">
        <v>6</v>
      </c>
      <c r="AE511" s="4">
        <v>9</v>
      </c>
      <c r="AF511" s="4">
        <v>3</v>
      </c>
      <c r="AG511" s="4">
        <v>3</v>
      </c>
      <c r="AH511" s="4">
        <v>0</v>
      </c>
      <c r="AI511" s="4">
        <v>2</v>
      </c>
      <c r="AJ511" s="4">
        <v>4</v>
      </c>
      <c r="AK511" s="4">
        <v>5</v>
      </c>
      <c r="AL511" s="4">
        <v>0</v>
      </c>
      <c r="AM511" s="4">
        <v>1</v>
      </c>
      <c r="AN511" s="4">
        <v>0</v>
      </c>
      <c r="AO511" s="4">
        <v>0</v>
      </c>
      <c r="AP511" s="3" t="s">
        <v>59</v>
      </c>
      <c r="AQ511" s="3" t="s">
        <v>61</v>
      </c>
      <c r="AR511" s="6" t="str">
        <f>HYPERLINK("http://catalog.hathitrust.org/Record/000402265","HathiTrust Record")</f>
        <v>HathiTrust Record</v>
      </c>
      <c r="AS511" s="6" t="str">
        <f>HYPERLINK("https://creighton-primo.hosted.exlibrisgroup.com/primo-explore/search?tab=default_tab&amp;search_scope=EVERYTHING&amp;vid=01CRU&amp;lang=en_US&amp;offset=0&amp;query=any,contains,991003902329702656","Catalog Record")</f>
        <v>Catalog Record</v>
      </c>
      <c r="AT511" s="6" t="str">
        <f>HYPERLINK("http://www.worldcat.org/oclc/1828419","WorldCat Record")</f>
        <v>WorldCat Record</v>
      </c>
      <c r="AU511" s="3" t="s">
        <v>6008</v>
      </c>
      <c r="AV511" s="3" t="s">
        <v>6009</v>
      </c>
      <c r="AW511" s="3" t="s">
        <v>6010</v>
      </c>
      <c r="AX511" s="3" t="s">
        <v>6010</v>
      </c>
      <c r="AY511" s="3" t="s">
        <v>6011</v>
      </c>
      <c r="AZ511" s="3" t="s">
        <v>75</v>
      </c>
      <c r="BC511" s="3" t="s">
        <v>6012</v>
      </c>
      <c r="BD511" s="3" t="s">
        <v>6013</v>
      </c>
    </row>
    <row r="512" spans="1:56" ht="44.25" customHeight="1" x14ac:dyDescent="0.25">
      <c r="A512" s="7" t="s">
        <v>61</v>
      </c>
      <c r="B512" s="2" t="s">
        <v>6014</v>
      </c>
      <c r="C512" s="2" t="s">
        <v>6015</v>
      </c>
      <c r="D512" s="2" t="s">
        <v>6004</v>
      </c>
      <c r="F512" s="3" t="s">
        <v>61</v>
      </c>
      <c r="G512" s="3" t="s">
        <v>60</v>
      </c>
      <c r="H512" s="3" t="s">
        <v>59</v>
      </c>
      <c r="I512" s="3" t="s">
        <v>61</v>
      </c>
      <c r="J512" s="3" t="s">
        <v>62</v>
      </c>
      <c r="K512" s="2" t="s">
        <v>6005</v>
      </c>
      <c r="L512" s="2" t="s">
        <v>6006</v>
      </c>
      <c r="M512" s="3" t="s">
        <v>6007</v>
      </c>
      <c r="N512" s="2" t="s">
        <v>634</v>
      </c>
      <c r="O512" s="3" t="s">
        <v>114</v>
      </c>
      <c r="P512" s="3" t="s">
        <v>1439</v>
      </c>
      <c r="R512" s="3" t="s">
        <v>68</v>
      </c>
      <c r="S512" s="4">
        <v>1</v>
      </c>
      <c r="T512" s="4">
        <v>1</v>
      </c>
      <c r="U512" s="5" t="s">
        <v>5994</v>
      </c>
      <c r="V512" s="5" t="s">
        <v>5994</v>
      </c>
      <c r="W512" s="5" t="s">
        <v>5535</v>
      </c>
      <c r="X512" s="5" t="s">
        <v>5535</v>
      </c>
      <c r="Y512" s="4">
        <v>191</v>
      </c>
      <c r="Z512" s="4">
        <v>191</v>
      </c>
      <c r="AA512" s="4">
        <v>228</v>
      </c>
      <c r="AB512" s="4">
        <v>1</v>
      </c>
      <c r="AC512" s="4">
        <v>2</v>
      </c>
      <c r="AD512" s="4">
        <v>6</v>
      </c>
      <c r="AE512" s="4">
        <v>9</v>
      </c>
      <c r="AF512" s="4">
        <v>3</v>
      </c>
      <c r="AG512" s="4">
        <v>3</v>
      </c>
      <c r="AH512" s="4">
        <v>0</v>
      </c>
      <c r="AI512" s="4">
        <v>2</v>
      </c>
      <c r="AJ512" s="4">
        <v>4</v>
      </c>
      <c r="AK512" s="4">
        <v>5</v>
      </c>
      <c r="AL512" s="4">
        <v>0</v>
      </c>
      <c r="AM512" s="4">
        <v>1</v>
      </c>
      <c r="AN512" s="4">
        <v>0</v>
      </c>
      <c r="AO512" s="4">
        <v>0</v>
      </c>
      <c r="AP512" s="3" t="s">
        <v>59</v>
      </c>
      <c r="AQ512" s="3" t="s">
        <v>61</v>
      </c>
      <c r="AR512" s="6" t="str">
        <f>HYPERLINK("http://catalog.hathitrust.org/Record/000402265","HathiTrust Record")</f>
        <v>HathiTrust Record</v>
      </c>
      <c r="AS512" s="6" t="str">
        <f>HYPERLINK("https://creighton-primo.hosted.exlibrisgroup.com/primo-explore/search?tab=default_tab&amp;search_scope=EVERYTHING&amp;vid=01CRU&amp;lang=en_US&amp;offset=0&amp;query=any,contains,991003902329702656","Catalog Record")</f>
        <v>Catalog Record</v>
      </c>
      <c r="AT512" s="6" t="str">
        <f>HYPERLINK("http://www.worldcat.org/oclc/1828419","WorldCat Record")</f>
        <v>WorldCat Record</v>
      </c>
      <c r="AU512" s="3" t="s">
        <v>6008</v>
      </c>
      <c r="AV512" s="3" t="s">
        <v>6009</v>
      </c>
      <c r="AW512" s="3" t="s">
        <v>6010</v>
      </c>
      <c r="AX512" s="3" t="s">
        <v>6010</v>
      </c>
      <c r="AY512" s="3" t="s">
        <v>6011</v>
      </c>
      <c r="AZ512" s="3" t="s">
        <v>75</v>
      </c>
      <c r="BC512" s="3" t="s">
        <v>6016</v>
      </c>
      <c r="BD512" s="3" t="s">
        <v>6017</v>
      </c>
    </row>
    <row r="513" spans="1:56" ht="44.25" customHeight="1" x14ac:dyDescent="0.25">
      <c r="A513" s="7" t="s">
        <v>61</v>
      </c>
      <c r="B513" s="2" t="s">
        <v>6018</v>
      </c>
      <c r="C513" s="2" t="s">
        <v>6019</v>
      </c>
      <c r="D513" s="2" t="s">
        <v>6020</v>
      </c>
      <c r="F513" s="3" t="s">
        <v>61</v>
      </c>
      <c r="G513" s="3" t="s">
        <v>60</v>
      </c>
      <c r="H513" s="3" t="s">
        <v>61</v>
      </c>
      <c r="I513" s="3" t="s">
        <v>61</v>
      </c>
      <c r="J513" s="3" t="s">
        <v>62</v>
      </c>
      <c r="K513" s="2" t="s">
        <v>6021</v>
      </c>
      <c r="L513" s="2" t="s">
        <v>6022</v>
      </c>
      <c r="M513" s="3" t="s">
        <v>856</v>
      </c>
      <c r="O513" s="3" t="s">
        <v>114</v>
      </c>
      <c r="P513" s="3" t="s">
        <v>1494</v>
      </c>
      <c r="R513" s="3" t="s">
        <v>68</v>
      </c>
      <c r="S513" s="4">
        <v>10</v>
      </c>
      <c r="T513" s="4">
        <v>10</v>
      </c>
      <c r="U513" s="5" t="s">
        <v>2058</v>
      </c>
      <c r="V513" s="5" t="s">
        <v>2058</v>
      </c>
      <c r="W513" s="5" t="s">
        <v>5535</v>
      </c>
      <c r="X513" s="5" t="s">
        <v>5535</v>
      </c>
      <c r="Y513" s="4">
        <v>156</v>
      </c>
      <c r="Z513" s="4">
        <v>154</v>
      </c>
      <c r="AA513" s="4">
        <v>313</v>
      </c>
      <c r="AB513" s="4">
        <v>2</v>
      </c>
      <c r="AC513" s="4">
        <v>4</v>
      </c>
      <c r="AD513" s="4">
        <v>2</v>
      </c>
      <c r="AE513" s="4">
        <v>9</v>
      </c>
      <c r="AF513" s="4">
        <v>0</v>
      </c>
      <c r="AG513" s="4">
        <v>2</v>
      </c>
      <c r="AH513" s="4">
        <v>2</v>
      </c>
      <c r="AI513" s="4">
        <v>2</v>
      </c>
      <c r="AJ513" s="4">
        <v>2</v>
      </c>
      <c r="AK513" s="4">
        <v>7</v>
      </c>
      <c r="AL513" s="4">
        <v>0</v>
      </c>
      <c r="AM513" s="4">
        <v>1</v>
      </c>
      <c r="AN513" s="4">
        <v>0</v>
      </c>
      <c r="AO513" s="4">
        <v>0</v>
      </c>
      <c r="AP513" s="3" t="s">
        <v>61</v>
      </c>
      <c r="AQ513" s="3" t="s">
        <v>59</v>
      </c>
      <c r="AR513" s="6" t="str">
        <f>HYPERLINK("http://catalog.hathitrust.org/Record/000401922","HathiTrust Record")</f>
        <v>HathiTrust Record</v>
      </c>
      <c r="AS513" s="6" t="str">
        <f>HYPERLINK("https://creighton-primo.hosted.exlibrisgroup.com/primo-explore/search?tab=default_tab&amp;search_scope=EVERYTHING&amp;vid=01CRU&amp;lang=en_US&amp;offset=0&amp;query=any,contains,991002685499702656","Catalog Record")</f>
        <v>Catalog Record</v>
      </c>
      <c r="AT513" s="6" t="str">
        <f>HYPERLINK("http://www.worldcat.org/oclc/399942","WorldCat Record")</f>
        <v>WorldCat Record</v>
      </c>
      <c r="AU513" s="3" t="s">
        <v>6023</v>
      </c>
      <c r="AV513" s="3" t="s">
        <v>6024</v>
      </c>
      <c r="AW513" s="3" t="s">
        <v>6025</v>
      </c>
      <c r="AX513" s="3" t="s">
        <v>6025</v>
      </c>
      <c r="AY513" s="3" t="s">
        <v>6026</v>
      </c>
      <c r="AZ513" s="3" t="s">
        <v>75</v>
      </c>
      <c r="BC513" s="3" t="s">
        <v>6027</v>
      </c>
      <c r="BD513" s="3" t="s">
        <v>6028</v>
      </c>
    </row>
    <row r="514" spans="1:56" ht="44.25" customHeight="1" x14ac:dyDescent="0.25">
      <c r="A514" s="7" t="s">
        <v>61</v>
      </c>
      <c r="B514" s="2" t="s">
        <v>6029</v>
      </c>
      <c r="C514" s="2" t="s">
        <v>6030</v>
      </c>
      <c r="D514" s="2" t="s">
        <v>6031</v>
      </c>
      <c r="F514" s="3" t="s">
        <v>61</v>
      </c>
      <c r="G514" s="3" t="s">
        <v>60</v>
      </c>
      <c r="H514" s="3" t="s">
        <v>61</v>
      </c>
      <c r="I514" s="3" t="s">
        <v>61</v>
      </c>
      <c r="J514" s="3" t="s">
        <v>62</v>
      </c>
      <c r="K514" s="2" t="s">
        <v>6032</v>
      </c>
      <c r="L514" s="2" t="s">
        <v>6033</v>
      </c>
      <c r="M514" s="3" t="s">
        <v>4022</v>
      </c>
      <c r="O514" s="3" t="s">
        <v>114</v>
      </c>
      <c r="P514" s="3" t="s">
        <v>235</v>
      </c>
      <c r="R514" s="3" t="s">
        <v>68</v>
      </c>
      <c r="S514" s="4">
        <v>2</v>
      </c>
      <c r="T514" s="4">
        <v>2</v>
      </c>
      <c r="U514" s="5" t="s">
        <v>6034</v>
      </c>
      <c r="V514" s="5" t="s">
        <v>6034</v>
      </c>
      <c r="W514" s="5" t="s">
        <v>5535</v>
      </c>
      <c r="X514" s="5" t="s">
        <v>5535</v>
      </c>
      <c r="Y514" s="4">
        <v>131</v>
      </c>
      <c r="Z514" s="4">
        <v>120</v>
      </c>
      <c r="AA514" s="4">
        <v>123</v>
      </c>
      <c r="AB514" s="4">
        <v>1</v>
      </c>
      <c r="AC514" s="4">
        <v>1</v>
      </c>
      <c r="AD514" s="4">
        <v>1</v>
      </c>
      <c r="AE514" s="4">
        <v>1</v>
      </c>
      <c r="AF514" s="4">
        <v>0</v>
      </c>
      <c r="AG514" s="4">
        <v>0</v>
      </c>
      <c r="AH514" s="4">
        <v>1</v>
      </c>
      <c r="AI514" s="4">
        <v>1</v>
      </c>
      <c r="AJ514" s="4">
        <v>1</v>
      </c>
      <c r="AK514" s="4">
        <v>1</v>
      </c>
      <c r="AL514" s="4">
        <v>0</v>
      </c>
      <c r="AM514" s="4">
        <v>0</v>
      </c>
      <c r="AN514" s="4">
        <v>0</v>
      </c>
      <c r="AO514" s="4">
        <v>0</v>
      </c>
      <c r="AP514" s="3" t="s">
        <v>61</v>
      </c>
      <c r="AQ514" s="3" t="s">
        <v>61</v>
      </c>
      <c r="AR514" s="6" t="str">
        <f>HYPERLINK("http://catalog.hathitrust.org/Record/000403815","HathiTrust Record")</f>
        <v>HathiTrust Record</v>
      </c>
      <c r="AS514" s="6" t="str">
        <f>HYPERLINK("https://creighton-primo.hosted.exlibrisgroup.com/primo-explore/search?tab=default_tab&amp;search_scope=EVERYTHING&amp;vid=01CRU&amp;lang=en_US&amp;offset=0&amp;query=any,contains,991003812019702656","Catalog Record")</f>
        <v>Catalog Record</v>
      </c>
      <c r="AT514" s="6" t="str">
        <f>HYPERLINK("http://www.worldcat.org/oclc/1540775","WorldCat Record")</f>
        <v>WorldCat Record</v>
      </c>
      <c r="AU514" s="3" t="s">
        <v>6035</v>
      </c>
      <c r="AV514" s="3" t="s">
        <v>6036</v>
      </c>
      <c r="AW514" s="3" t="s">
        <v>6037</v>
      </c>
      <c r="AX514" s="3" t="s">
        <v>6037</v>
      </c>
      <c r="AY514" s="3" t="s">
        <v>6038</v>
      </c>
      <c r="AZ514" s="3" t="s">
        <v>75</v>
      </c>
      <c r="BC514" s="3" t="s">
        <v>6039</v>
      </c>
      <c r="BD514" s="3" t="s">
        <v>6040</v>
      </c>
    </row>
    <row r="515" spans="1:56" ht="44.25" customHeight="1" x14ac:dyDescent="0.25">
      <c r="A515" s="7" t="s">
        <v>61</v>
      </c>
      <c r="B515" s="2" t="s">
        <v>6041</v>
      </c>
      <c r="C515" s="2" t="s">
        <v>6042</v>
      </c>
      <c r="D515" s="2" t="s">
        <v>6043</v>
      </c>
      <c r="F515" s="3" t="s">
        <v>61</v>
      </c>
      <c r="G515" s="3" t="s">
        <v>60</v>
      </c>
      <c r="H515" s="3" t="s">
        <v>61</v>
      </c>
      <c r="I515" s="3" t="s">
        <v>61</v>
      </c>
      <c r="J515" s="3" t="s">
        <v>62</v>
      </c>
      <c r="L515" s="2" t="s">
        <v>6044</v>
      </c>
      <c r="M515" s="3" t="s">
        <v>334</v>
      </c>
      <c r="O515" s="3" t="s">
        <v>114</v>
      </c>
      <c r="P515" s="3" t="s">
        <v>235</v>
      </c>
      <c r="R515" s="3" t="s">
        <v>68</v>
      </c>
      <c r="S515" s="4">
        <v>3</v>
      </c>
      <c r="T515" s="4">
        <v>3</v>
      </c>
      <c r="U515" s="5" t="s">
        <v>708</v>
      </c>
      <c r="V515" s="5" t="s">
        <v>708</v>
      </c>
      <c r="W515" s="5" t="s">
        <v>5690</v>
      </c>
      <c r="X515" s="5" t="s">
        <v>5690</v>
      </c>
      <c r="Y515" s="4">
        <v>203</v>
      </c>
      <c r="Z515" s="4">
        <v>179</v>
      </c>
      <c r="AA515" s="4">
        <v>241</v>
      </c>
      <c r="AB515" s="4">
        <v>2</v>
      </c>
      <c r="AC515" s="4">
        <v>3</v>
      </c>
      <c r="AD515" s="4">
        <v>6</v>
      </c>
      <c r="AE515" s="4">
        <v>9</v>
      </c>
      <c r="AF515" s="4">
        <v>0</v>
      </c>
      <c r="AG515" s="4">
        <v>1</v>
      </c>
      <c r="AH515" s="4">
        <v>2</v>
      </c>
      <c r="AI515" s="4">
        <v>3</v>
      </c>
      <c r="AJ515" s="4">
        <v>5</v>
      </c>
      <c r="AK515" s="4">
        <v>7</v>
      </c>
      <c r="AL515" s="4">
        <v>1</v>
      </c>
      <c r="AM515" s="4">
        <v>2</v>
      </c>
      <c r="AN515" s="4">
        <v>0</v>
      </c>
      <c r="AO515" s="4">
        <v>0</v>
      </c>
      <c r="AP515" s="3" t="s">
        <v>61</v>
      </c>
      <c r="AQ515" s="3" t="s">
        <v>61</v>
      </c>
      <c r="AS515" s="6" t="str">
        <f>HYPERLINK("https://creighton-primo.hosted.exlibrisgroup.com/primo-explore/search?tab=default_tab&amp;search_scope=EVERYTHING&amp;vid=01CRU&amp;lang=en_US&amp;offset=0&amp;query=any,contains,991000965339702656","Catalog Record")</f>
        <v>Catalog Record</v>
      </c>
      <c r="AT515" s="6" t="str">
        <f>HYPERLINK("http://www.worldcat.org/oclc/14905650","WorldCat Record")</f>
        <v>WorldCat Record</v>
      </c>
      <c r="AU515" s="3" t="s">
        <v>6045</v>
      </c>
      <c r="AV515" s="3" t="s">
        <v>6046</v>
      </c>
      <c r="AW515" s="3" t="s">
        <v>6047</v>
      </c>
      <c r="AX515" s="3" t="s">
        <v>6047</v>
      </c>
      <c r="AY515" s="3" t="s">
        <v>6048</v>
      </c>
      <c r="AZ515" s="3" t="s">
        <v>75</v>
      </c>
      <c r="BB515" s="3" t="s">
        <v>6049</v>
      </c>
      <c r="BC515" s="3" t="s">
        <v>6050</v>
      </c>
      <c r="BD515" s="3" t="s">
        <v>6051</v>
      </c>
    </row>
    <row r="516" spans="1:56" ht="44.25" customHeight="1" x14ac:dyDescent="0.25">
      <c r="A516" s="7" t="s">
        <v>61</v>
      </c>
      <c r="B516" s="2" t="s">
        <v>6052</v>
      </c>
      <c r="C516" s="2" t="s">
        <v>6053</v>
      </c>
      <c r="D516" s="2" t="s">
        <v>6054</v>
      </c>
      <c r="E516" s="3" t="s">
        <v>141</v>
      </c>
      <c r="F516" s="3" t="s">
        <v>59</v>
      </c>
      <c r="G516" s="3" t="s">
        <v>60</v>
      </c>
      <c r="H516" s="3" t="s">
        <v>61</v>
      </c>
      <c r="I516" s="3" t="s">
        <v>61</v>
      </c>
      <c r="J516" s="3" t="s">
        <v>62</v>
      </c>
      <c r="K516" s="2" t="s">
        <v>6055</v>
      </c>
      <c r="L516" s="2" t="s">
        <v>6056</v>
      </c>
      <c r="M516" s="3" t="s">
        <v>6057</v>
      </c>
      <c r="O516" s="3" t="s">
        <v>114</v>
      </c>
      <c r="P516" s="3" t="s">
        <v>192</v>
      </c>
      <c r="Q516" s="2" t="s">
        <v>6058</v>
      </c>
      <c r="R516" s="3" t="s">
        <v>68</v>
      </c>
      <c r="S516" s="4">
        <v>2</v>
      </c>
      <c r="T516" s="4">
        <v>7</v>
      </c>
      <c r="U516" s="5" t="s">
        <v>6059</v>
      </c>
      <c r="V516" s="5" t="s">
        <v>6060</v>
      </c>
      <c r="W516" s="5" t="s">
        <v>5327</v>
      </c>
      <c r="X516" s="5" t="s">
        <v>5327</v>
      </c>
      <c r="Y516" s="4">
        <v>458</v>
      </c>
      <c r="Z516" s="4">
        <v>360</v>
      </c>
      <c r="AA516" s="4">
        <v>483</v>
      </c>
      <c r="AB516" s="4">
        <v>6</v>
      </c>
      <c r="AC516" s="4">
        <v>6</v>
      </c>
      <c r="AD516" s="4">
        <v>19</v>
      </c>
      <c r="AE516" s="4">
        <v>22</v>
      </c>
      <c r="AF516" s="4">
        <v>7</v>
      </c>
      <c r="AG516" s="4">
        <v>8</v>
      </c>
      <c r="AH516" s="4">
        <v>3</v>
      </c>
      <c r="AI516" s="4">
        <v>4</v>
      </c>
      <c r="AJ516" s="4">
        <v>8</v>
      </c>
      <c r="AK516" s="4">
        <v>10</v>
      </c>
      <c r="AL516" s="4">
        <v>4</v>
      </c>
      <c r="AM516" s="4">
        <v>4</v>
      </c>
      <c r="AN516" s="4">
        <v>0</v>
      </c>
      <c r="AO516" s="4">
        <v>0</v>
      </c>
      <c r="AP516" s="3" t="s">
        <v>59</v>
      </c>
      <c r="AQ516" s="3" t="s">
        <v>61</v>
      </c>
      <c r="AR516" s="6" t="str">
        <f>HYPERLINK("http://catalog.hathitrust.org/Record/006062777","HathiTrust Record")</f>
        <v>HathiTrust Record</v>
      </c>
      <c r="AS516" s="6" t="str">
        <f>HYPERLINK("https://creighton-primo.hosted.exlibrisgroup.com/primo-explore/search?tab=default_tab&amp;search_scope=EVERYTHING&amp;vid=01CRU&amp;lang=en_US&amp;offset=0&amp;query=any,contains,991003833669702656","Catalog Record")</f>
        <v>Catalog Record</v>
      </c>
      <c r="AT516" s="6" t="str">
        <f>HYPERLINK("http://www.worldcat.org/oclc/1597464","WorldCat Record")</f>
        <v>WorldCat Record</v>
      </c>
      <c r="AU516" s="3" t="s">
        <v>6061</v>
      </c>
      <c r="AV516" s="3" t="s">
        <v>6062</v>
      </c>
      <c r="AW516" s="3" t="s">
        <v>6063</v>
      </c>
      <c r="AX516" s="3" t="s">
        <v>6063</v>
      </c>
      <c r="AY516" s="3" t="s">
        <v>6064</v>
      </c>
      <c r="AZ516" s="3" t="s">
        <v>75</v>
      </c>
      <c r="BC516" s="3" t="s">
        <v>6065</v>
      </c>
      <c r="BD516" s="3" t="s">
        <v>6066</v>
      </c>
    </row>
    <row r="517" spans="1:56" ht="44.25" customHeight="1" x14ac:dyDescent="0.25">
      <c r="A517" s="7" t="s">
        <v>61</v>
      </c>
      <c r="B517" s="2" t="s">
        <v>6067</v>
      </c>
      <c r="C517" s="2" t="s">
        <v>6068</v>
      </c>
      <c r="D517" s="2" t="s">
        <v>6069</v>
      </c>
      <c r="F517" s="3" t="s">
        <v>61</v>
      </c>
      <c r="G517" s="3" t="s">
        <v>60</v>
      </c>
      <c r="H517" s="3" t="s">
        <v>61</v>
      </c>
      <c r="I517" s="3" t="s">
        <v>61</v>
      </c>
      <c r="J517" s="3" t="s">
        <v>62</v>
      </c>
      <c r="K517" s="2" t="s">
        <v>6070</v>
      </c>
      <c r="L517" s="2" t="s">
        <v>6071</v>
      </c>
      <c r="M517" s="3" t="s">
        <v>249</v>
      </c>
      <c r="O517" s="3" t="s">
        <v>114</v>
      </c>
      <c r="P517" s="3" t="s">
        <v>1799</v>
      </c>
      <c r="Q517" s="2" t="s">
        <v>6072</v>
      </c>
      <c r="R517" s="3" t="s">
        <v>68</v>
      </c>
      <c r="S517" s="4">
        <v>6</v>
      </c>
      <c r="T517" s="4">
        <v>6</v>
      </c>
      <c r="U517" s="5" t="s">
        <v>6073</v>
      </c>
      <c r="V517" s="5" t="s">
        <v>6073</v>
      </c>
      <c r="W517" s="5" t="s">
        <v>3441</v>
      </c>
      <c r="X517" s="5" t="s">
        <v>3441</v>
      </c>
      <c r="Y517" s="4">
        <v>227</v>
      </c>
      <c r="Z517" s="4">
        <v>174</v>
      </c>
      <c r="AA517" s="4">
        <v>175</v>
      </c>
      <c r="AB517" s="4">
        <v>2</v>
      </c>
      <c r="AC517" s="4">
        <v>2</v>
      </c>
      <c r="AD517" s="4">
        <v>8</v>
      </c>
      <c r="AE517" s="4">
        <v>8</v>
      </c>
      <c r="AF517" s="4">
        <v>2</v>
      </c>
      <c r="AG517" s="4">
        <v>2</v>
      </c>
      <c r="AH517" s="4">
        <v>3</v>
      </c>
      <c r="AI517" s="4">
        <v>3</v>
      </c>
      <c r="AJ517" s="4">
        <v>4</v>
      </c>
      <c r="AK517" s="4">
        <v>4</v>
      </c>
      <c r="AL517" s="4">
        <v>1</v>
      </c>
      <c r="AM517" s="4">
        <v>1</v>
      </c>
      <c r="AN517" s="4">
        <v>0</v>
      </c>
      <c r="AO517" s="4">
        <v>0</v>
      </c>
      <c r="AP517" s="3" t="s">
        <v>61</v>
      </c>
      <c r="AQ517" s="3" t="s">
        <v>59</v>
      </c>
      <c r="AR517" s="6" t="str">
        <f>HYPERLINK("http://catalog.hathitrust.org/Record/002807945","HathiTrust Record")</f>
        <v>HathiTrust Record</v>
      </c>
      <c r="AS517" s="6" t="str">
        <f>HYPERLINK("https://creighton-primo.hosted.exlibrisgroup.com/primo-explore/search?tab=default_tab&amp;search_scope=EVERYTHING&amp;vid=01CRU&amp;lang=en_US&amp;offset=0&amp;query=any,contains,991002138349702656","Catalog Record")</f>
        <v>Catalog Record</v>
      </c>
      <c r="AT517" s="6" t="str">
        <f>HYPERLINK("http://www.worldcat.org/oclc/27429897","WorldCat Record")</f>
        <v>WorldCat Record</v>
      </c>
      <c r="AU517" s="3" t="s">
        <v>6074</v>
      </c>
      <c r="AV517" s="3" t="s">
        <v>6075</v>
      </c>
      <c r="AW517" s="3" t="s">
        <v>6076</v>
      </c>
      <c r="AX517" s="3" t="s">
        <v>6076</v>
      </c>
      <c r="AY517" s="3" t="s">
        <v>6077</v>
      </c>
      <c r="AZ517" s="3" t="s">
        <v>75</v>
      </c>
      <c r="BB517" s="3" t="s">
        <v>6078</v>
      </c>
      <c r="BC517" s="3" t="s">
        <v>6079</v>
      </c>
      <c r="BD517" s="3" t="s">
        <v>6080</v>
      </c>
    </row>
    <row r="518" spans="1:56" ht="44.25" customHeight="1" x14ac:dyDescent="0.25">
      <c r="A518" s="7" t="s">
        <v>61</v>
      </c>
      <c r="B518" s="2" t="s">
        <v>6081</v>
      </c>
      <c r="C518" s="2" t="s">
        <v>6082</v>
      </c>
      <c r="D518" s="2" t="s">
        <v>6083</v>
      </c>
      <c r="F518" s="3" t="s">
        <v>61</v>
      </c>
      <c r="G518" s="3" t="s">
        <v>60</v>
      </c>
      <c r="H518" s="3" t="s">
        <v>61</v>
      </c>
      <c r="I518" s="3" t="s">
        <v>61</v>
      </c>
      <c r="J518" s="3" t="s">
        <v>62</v>
      </c>
      <c r="K518" s="2" t="s">
        <v>6084</v>
      </c>
      <c r="L518" s="2" t="s">
        <v>6085</v>
      </c>
      <c r="M518" s="3" t="s">
        <v>6086</v>
      </c>
      <c r="O518" s="3" t="s">
        <v>114</v>
      </c>
      <c r="P518" s="3" t="s">
        <v>67</v>
      </c>
      <c r="Q518" s="2" t="s">
        <v>6087</v>
      </c>
      <c r="R518" s="3" t="s">
        <v>68</v>
      </c>
      <c r="S518" s="4">
        <v>6</v>
      </c>
      <c r="T518" s="4">
        <v>6</v>
      </c>
      <c r="U518" s="5" t="s">
        <v>6088</v>
      </c>
      <c r="V518" s="5" t="s">
        <v>6088</v>
      </c>
      <c r="W518" s="5" t="s">
        <v>5327</v>
      </c>
      <c r="X518" s="5" t="s">
        <v>5327</v>
      </c>
      <c r="Y518" s="4">
        <v>148</v>
      </c>
      <c r="Z518" s="4">
        <v>95</v>
      </c>
      <c r="AA518" s="4">
        <v>214</v>
      </c>
      <c r="AB518" s="4">
        <v>1</v>
      </c>
      <c r="AC518" s="4">
        <v>3</v>
      </c>
      <c r="AD518" s="4">
        <v>6</v>
      </c>
      <c r="AE518" s="4">
        <v>18</v>
      </c>
      <c r="AF518" s="4">
        <v>0</v>
      </c>
      <c r="AG518" s="4">
        <v>4</v>
      </c>
      <c r="AH518" s="4">
        <v>2</v>
      </c>
      <c r="AI518" s="4">
        <v>5</v>
      </c>
      <c r="AJ518" s="4">
        <v>5</v>
      </c>
      <c r="AK518" s="4">
        <v>12</v>
      </c>
      <c r="AL518" s="4">
        <v>0</v>
      </c>
      <c r="AM518" s="4">
        <v>2</v>
      </c>
      <c r="AN518" s="4">
        <v>0</v>
      </c>
      <c r="AO518" s="4">
        <v>0</v>
      </c>
      <c r="AP518" s="3" t="s">
        <v>61</v>
      </c>
      <c r="AQ518" s="3" t="s">
        <v>59</v>
      </c>
      <c r="AR518" s="6" t="str">
        <f>HYPERLINK("http://catalog.hathitrust.org/Record/000617311","HathiTrust Record")</f>
        <v>HathiTrust Record</v>
      </c>
      <c r="AS518" s="6" t="str">
        <f>HYPERLINK("https://creighton-primo.hosted.exlibrisgroup.com/primo-explore/search?tab=default_tab&amp;search_scope=EVERYTHING&amp;vid=01CRU&amp;lang=en_US&amp;offset=0&amp;query=any,contains,991003739289702656","Catalog Record")</f>
        <v>Catalog Record</v>
      </c>
      <c r="AT518" s="6" t="str">
        <f>HYPERLINK("http://www.worldcat.org/oclc/1400481","WorldCat Record")</f>
        <v>WorldCat Record</v>
      </c>
      <c r="AU518" s="3" t="s">
        <v>6089</v>
      </c>
      <c r="AV518" s="3" t="s">
        <v>6090</v>
      </c>
      <c r="AW518" s="3" t="s">
        <v>6091</v>
      </c>
      <c r="AX518" s="3" t="s">
        <v>6091</v>
      </c>
      <c r="AY518" s="3" t="s">
        <v>6092</v>
      </c>
      <c r="AZ518" s="3" t="s">
        <v>75</v>
      </c>
      <c r="BC518" s="3" t="s">
        <v>6093</v>
      </c>
      <c r="BD518" s="3" t="s">
        <v>6094</v>
      </c>
    </row>
    <row r="519" spans="1:56" ht="44.25" customHeight="1" x14ac:dyDescent="0.25">
      <c r="A519" s="7" t="s">
        <v>61</v>
      </c>
      <c r="B519" s="2" t="s">
        <v>6095</v>
      </c>
      <c r="C519" s="2" t="s">
        <v>6096</v>
      </c>
      <c r="D519" s="2" t="s">
        <v>6097</v>
      </c>
      <c r="F519" s="3" t="s">
        <v>61</v>
      </c>
      <c r="G519" s="3" t="s">
        <v>60</v>
      </c>
      <c r="H519" s="3" t="s">
        <v>61</v>
      </c>
      <c r="I519" s="3" t="s">
        <v>61</v>
      </c>
      <c r="J519" s="3" t="s">
        <v>62</v>
      </c>
      <c r="K519" s="2" t="s">
        <v>6098</v>
      </c>
      <c r="L519" s="2" t="s">
        <v>6099</v>
      </c>
      <c r="M519" s="3" t="s">
        <v>552</v>
      </c>
      <c r="O519" s="3" t="s">
        <v>114</v>
      </c>
      <c r="P519" s="3" t="s">
        <v>2432</v>
      </c>
      <c r="R519" s="3" t="s">
        <v>68</v>
      </c>
      <c r="S519" s="4">
        <v>2</v>
      </c>
      <c r="T519" s="4">
        <v>2</v>
      </c>
      <c r="U519" s="5" t="s">
        <v>6100</v>
      </c>
      <c r="V519" s="5" t="s">
        <v>6100</v>
      </c>
      <c r="W519" s="5" t="s">
        <v>6101</v>
      </c>
      <c r="X519" s="5" t="s">
        <v>6101</v>
      </c>
      <c r="Y519" s="4">
        <v>209</v>
      </c>
      <c r="Z519" s="4">
        <v>172</v>
      </c>
      <c r="AA519" s="4">
        <v>173</v>
      </c>
      <c r="AB519" s="4">
        <v>2</v>
      </c>
      <c r="AC519" s="4">
        <v>2</v>
      </c>
      <c r="AD519" s="4">
        <v>9</v>
      </c>
      <c r="AE519" s="4">
        <v>9</v>
      </c>
      <c r="AF519" s="4">
        <v>3</v>
      </c>
      <c r="AG519" s="4">
        <v>3</v>
      </c>
      <c r="AH519" s="4">
        <v>1</v>
      </c>
      <c r="AI519" s="4">
        <v>1</v>
      </c>
      <c r="AJ519" s="4">
        <v>6</v>
      </c>
      <c r="AK519" s="4">
        <v>6</v>
      </c>
      <c r="AL519" s="4">
        <v>1</v>
      </c>
      <c r="AM519" s="4">
        <v>1</v>
      </c>
      <c r="AN519" s="4">
        <v>0</v>
      </c>
      <c r="AO519" s="4">
        <v>0</v>
      </c>
      <c r="AP519" s="3" t="s">
        <v>61</v>
      </c>
      <c r="AQ519" s="3" t="s">
        <v>59</v>
      </c>
      <c r="AR519" s="6" t="str">
        <f>HYPERLINK("http://catalog.hathitrust.org/Record/001954696","HathiTrust Record")</f>
        <v>HathiTrust Record</v>
      </c>
      <c r="AS519" s="6" t="str">
        <f>HYPERLINK("https://creighton-primo.hosted.exlibrisgroup.com/primo-explore/search?tab=default_tab&amp;search_scope=EVERYTHING&amp;vid=01CRU&amp;lang=en_US&amp;offset=0&amp;query=any,contains,991001455269702656","Catalog Record")</f>
        <v>Catalog Record</v>
      </c>
      <c r="AT519" s="6" t="str">
        <f>HYPERLINK("http://www.worldcat.org/oclc/19354230","WorldCat Record")</f>
        <v>WorldCat Record</v>
      </c>
      <c r="AU519" s="3" t="s">
        <v>6102</v>
      </c>
      <c r="AV519" s="3" t="s">
        <v>6103</v>
      </c>
      <c r="AW519" s="3" t="s">
        <v>6104</v>
      </c>
      <c r="AX519" s="3" t="s">
        <v>6104</v>
      </c>
      <c r="AY519" s="3" t="s">
        <v>6105</v>
      </c>
      <c r="AZ519" s="3" t="s">
        <v>75</v>
      </c>
      <c r="BB519" s="3" t="s">
        <v>6106</v>
      </c>
      <c r="BC519" s="3" t="s">
        <v>6107</v>
      </c>
      <c r="BD519" s="3" t="s">
        <v>6108</v>
      </c>
    </row>
    <row r="520" spans="1:56" ht="44.25" customHeight="1" x14ac:dyDescent="0.25">
      <c r="A520" s="7" t="s">
        <v>61</v>
      </c>
      <c r="B520" s="2" t="s">
        <v>6109</v>
      </c>
      <c r="C520" s="2" t="s">
        <v>6110</v>
      </c>
      <c r="D520" s="2" t="s">
        <v>6111</v>
      </c>
      <c r="F520" s="3" t="s">
        <v>61</v>
      </c>
      <c r="G520" s="3" t="s">
        <v>60</v>
      </c>
      <c r="H520" s="3" t="s">
        <v>61</v>
      </c>
      <c r="I520" s="3" t="s">
        <v>61</v>
      </c>
      <c r="J520" s="3" t="s">
        <v>62</v>
      </c>
      <c r="K520" s="2" t="s">
        <v>6112</v>
      </c>
      <c r="L520" s="2" t="s">
        <v>6113</v>
      </c>
      <c r="M520" s="3" t="s">
        <v>5599</v>
      </c>
      <c r="O520" s="3" t="s">
        <v>114</v>
      </c>
      <c r="P520" s="3" t="s">
        <v>67</v>
      </c>
      <c r="R520" s="3" t="s">
        <v>68</v>
      </c>
      <c r="S520" s="4">
        <v>1</v>
      </c>
      <c r="T520" s="4">
        <v>1</v>
      </c>
      <c r="U520" s="5" t="s">
        <v>6114</v>
      </c>
      <c r="V520" s="5" t="s">
        <v>6114</v>
      </c>
      <c r="W520" s="5" t="s">
        <v>6115</v>
      </c>
      <c r="X520" s="5" t="s">
        <v>6115</v>
      </c>
      <c r="Y520" s="4">
        <v>137</v>
      </c>
      <c r="Z520" s="4">
        <v>102</v>
      </c>
      <c r="AA520" s="4">
        <v>123</v>
      </c>
      <c r="AB520" s="4">
        <v>3</v>
      </c>
      <c r="AC520" s="4">
        <v>3</v>
      </c>
      <c r="AD520" s="4">
        <v>5</v>
      </c>
      <c r="AE520" s="4">
        <v>5</v>
      </c>
      <c r="AF520" s="4">
        <v>0</v>
      </c>
      <c r="AG520" s="4">
        <v>0</v>
      </c>
      <c r="AH520" s="4">
        <v>1</v>
      </c>
      <c r="AI520" s="4">
        <v>1</v>
      </c>
      <c r="AJ520" s="4">
        <v>3</v>
      </c>
      <c r="AK520" s="4">
        <v>3</v>
      </c>
      <c r="AL520" s="4">
        <v>2</v>
      </c>
      <c r="AM520" s="4">
        <v>2</v>
      </c>
      <c r="AN520" s="4">
        <v>0</v>
      </c>
      <c r="AO520" s="4">
        <v>0</v>
      </c>
      <c r="AP520" s="3" t="s">
        <v>59</v>
      </c>
      <c r="AQ520" s="3" t="s">
        <v>61</v>
      </c>
      <c r="AR520" s="6" t="str">
        <f>HYPERLINK("http://catalog.hathitrust.org/Record/000403716","HathiTrust Record")</f>
        <v>HathiTrust Record</v>
      </c>
      <c r="AS520" s="6" t="str">
        <f>HYPERLINK("https://creighton-primo.hosted.exlibrisgroup.com/primo-explore/search?tab=default_tab&amp;search_scope=EVERYTHING&amp;vid=01CRU&amp;lang=en_US&amp;offset=0&amp;query=any,contains,991003105689702656","Catalog Record")</f>
        <v>Catalog Record</v>
      </c>
      <c r="AT520" s="6" t="str">
        <f>HYPERLINK("http://www.worldcat.org/oclc/653824","WorldCat Record")</f>
        <v>WorldCat Record</v>
      </c>
      <c r="AU520" s="3" t="s">
        <v>6116</v>
      </c>
      <c r="AV520" s="3" t="s">
        <v>6117</v>
      </c>
      <c r="AW520" s="3" t="s">
        <v>6118</v>
      </c>
      <c r="AX520" s="3" t="s">
        <v>6118</v>
      </c>
      <c r="AY520" s="3" t="s">
        <v>6119</v>
      </c>
      <c r="AZ520" s="3" t="s">
        <v>75</v>
      </c>
      <c r="BC520" s="3" t="s">
        <v>6120</v>
      </c>
      <c r="BD520" s="3" t="s">
        <v>6121</v>
      </c>
    </row>
    <row r="521" spans="1:56" ht="44.25" customHeight="1" x14ac:dyDescent="0.25">
      <c r="A521" s="7" t="s">
        <v>61</v>
      </c>
      <c r="B521" s="2" t="s">
        <v>6122</v>
      </c>
      <c r="C521" s="2" t="s">
        <v>6123</v>
      </c>
      <c r="D521" s="2" t="s">
        <v>6124</v>
      </c>
      <c r="F521" s="3" t="s">
        <v>61</v>
      </c>
      <c r="G521" s="3" t="s">
        <v>60</v>
      </c>
      <c r="H521" s="3" t="s">
        <v>61</v>
      </c>
      <c r="I521" s="3" t="s">
        <v>61</v>
      </c>
      <c r="J521" s="3" t="s">
        <v>62</v>
      </c>
      <c r="K521" s="2" t="s">
        <v>6125</v>
      </c>
      <c r="L521" s="2" t="s">
        <v>6126</v>
      </c>
      <c r="M521" s="3" t="s">
        <v>966</v>
      </c>
      <c r="O521" s="3" t="s">
        <v>114</v>
      </c>
      <c r="P521" s="3" t="s">
        <v>235</v>
      </c>
      <c r="R521" s="3" t="s">
        <v>68</v>
      </c>
      <c r="S521" s="4">
        <v>1</v>
      </c>
      <c r="T521" s="4">
        <v>1</v>
      </c>
      <c r="U521" s="5" t="s">
        <v>6114</v>
      </c>
      <c r="V521" s="5" t="s">
        <v>6114</v>
      </c>
      <c r="W521" s="5" t="s">
        <v>6127</v>
      </c>
      <c r="X521" s="5" t="s">
        <v>6127</v>
      </c>
      <c r="Y521" s="4">
        <v>326</v>
      </c>
      <c r="Z521" s="4">
        <v>299</v>
      </c>
      <c r="AA521" s="4">
        <v>419</v>
      </c>
      <c r="AB521" s="4">
        <v>2</v>
      </c>
      <c r="AC521" s="4">
        <v>3</v>
      </c>
      <c r="AD521" s="4">
        <v>10</v>
      </c>
      <c r="AE521" s="4">
        <v>16</v>
      </c>
      <c r="AF521" s="4">
        <v>6</v>
      </c>
      <c r="AG521" s="4">
        <v>8</v>
      </c>
      <c r="AH521" s="4">
        <v>1</v>
      </c>
      <c r="AI521" s="4">
        <v>2</v>
      </c>
      <c r="AJ521" s="4">
        <v>5</v>
      </c>
      <c r="AK521" s="4">
        <v>9</v>
      </c>
      <c r="AL521" s="4">
        <v>0</v>
      </c>
      <c r="AM521" s="4">
        <v>1</v>
      </c>
      <c r="AN521" s="4">
        <v>0</v>
      </c>
      <c r="AO521" s="4">
        <v>0</v>
      </c>
      <c r="AP521" s="3" t="s">
        <v>59</v>
      </c>
      <c r="AQ521" s="3" t="s">
        <v>61</v>
      </c>
      <c r="AR521" s="6" t="str">
        <f>HYPERLINK("http://catalog.hathitrust.org/Record/000403106","HathiTrust Record")</f>
        <v>HathiTrust Record</v>
      </c>
      <c r="AS521" s="6" t="str">
        <f>HYPERLINK("https://creighton-primo.hosted.exlibrisgroup.com/primo-explore/search?tab=default_tab&amp;search_scope=EVERYTHING&amp;vid=01CRU&amp;lang=en_US&amp;offset=0&amp;query=any,contains,991000852699702656","Catalog Record")</f>
        <v>Catalog Record</v>
      </c>
      <c r="AT521" s="6" t="str">
        <f>HYPERLINK("http://www.worldcat.org/oclc/13614571","WorldCat Record")</f>
        <v>WorldCat Record</v>
      </c>
      <c r="AU521" s="3" t="s">
        <v>6128</v>
      </c>
      <c r="AV521" s="3" t="s">
        <v>6129</v>
      </c>
      <c r="AW521" s="3" t="s">
        <v>6130</v>
      </c>
      <c r="AX521" s="3" t="s">
        <v>6130</v>
      </c>
      <c r="AY521" s="3" t="s">
        <v>6131</v>
      </c>
      <c r="AZ521" s="3" t="s">
        <v>75</v>
      </c>
      <c r="BC521" s="3" t="s">
        <v>6132</v>
      </c>
      <c r="BD521" s="3" t="s">
        <v>6133</v>
      </c>
    </row>
    <row r="522" spans="1:56" ht="44.25" customHeight="1" x14ac:dyDescent="0.25">
      <c r="A522" s="7" t="s">
        <v>61</v>
      </c>
      <c r="B522" s="2" t="s">
        <v>6134</v>
      </c>
      <c r="C522" s="2" t="s">
        <v>6135</v>
      </c>
      <c r="D522" s="2" t="s">
        <v>6136</v>
      </c>
      <c r="F522" s="3" t="s">
        <v>61</v>
      </c>
      <c r="G522" s="3" t="s">
        <v>60</v>
      </c>
      <c r="H522" s="3" t="s">
        <v>61</v>
      </c>
      <c r="I522" s="3" t="s">
        <v>61</v>
      </c>
      <c r="J522" s="3" t="s">
        <v>62</v>
      </c>
      <c r="K522" s="2" t="s">
        <v>6137</v>
      </c>
      <c r="L522" s="2" t="s">
        <v>6138</v>
      </c>
      <c r="M522" s="3" t="s">
        <v>5599</v>
      </c>
      <c r="O522" s="3" t="s">
        <v>114</v>
      </c>
      <c r="P522" s="3" t="s">
        <v>192</v>
      </c>
      <c r="R522" s="3" t="s">
        <v>68</v>
      </c>
      <c r="S522" s="4">
        <v>4</v>
      </c>
      <c r="T522" s="4">
        <v>4</v>
      </c>
      <c r="U522" s="5" t="s">
        <v>6139</v>
      </c>
      <c r="V522" s="5" t="s">
        <v>6139</v>
      </c>
      <c r="W522" s="5" t="s">
        <v>6140</v>
      </c>
      <c r="X522" s="5" t="s">
        <v>6140</v>
      </c>
      <c r="Y522" s="4">
        <v>143</v>
      </c>
      <c r="Z522" s="4">
        <v>90</v>
      </c>
      <c r="AA522" s="4">
        <v>358</v>
      </c>
      <c r="AB522" s="4">
        <v>1</v>
      </c>
      <c r="AC522" s="4">
        <v>2</v>
      </c>
      <c r="AD522" s="4">
        <v>2</v>
      </c>
      <c r="AE522" s="4">
        <v>10</v>
      </c>
      <c r="AF522" s="4">
        <v>1</v>
      </c>
      <c r="AG522" s="4">
        <v>3</v>
      </c>
      <c r="AH522" s="4">
        <v>0</v>
      </c>
      <c r="AI522" s="4">
        <v>6</v>
      </c>
      <c r="AJ522" s="4">
        <v>1</v>
      </c>
      <c r="AK522" s="4">
        <v>4</v>
      </c>
      <c r="AL522" s="4">
        <v>0</v>
      </c>
      <c r="AM522" s="4">
        <v>1</v>
      </c>
      <c r="AN522" s="4">
        <v>0</v>
      </c>
      <c r="AO522" s="4">
        <v>0</v>
      </c>
      <c r="AP522" s="3" t="s">
        <v>59</v>
      </c>
      <c r="AQ522" s="3" t="s">
        <v>61</v>
      </c>
      <c r="AR522" s="6" t="str">
        <f>HYPERLINK("http://catalog.hathitrust.org/Record/000401085","HathiTrust Record")</f>
        <v>HathiTrust Record</v>
      </c>
      <c r="AS522" s="6" t="str">
        <f>HYPERLINK("https://creighton-primo.hosted.exlibrisgroup.com/primo-explore/search?tab=default_tab&amp;search_scope=EVERYTHING&amp;vid=01CRU&amp;lang=en_US&amp;offset=0&amp;query=any,contains,991004235449702656","Catalog Record")</f>
        <v>Catalog Record</v>
      </c>
      <c r="AT522" s="6" t="str">
        <f>HYPERLINK("http://www.worldcat.org/oclc/2765294","WorldCat Record")</f>
        <v>WorldCat Record</v>
      </c>
      <c r="AU522" s="3" t="s">
        <v>6141</v>
      </c>
      <c r="AV522" s="3" t="s">
        <v>6142</v>
      </c>
      <c r="AW522" s="3" t="s">
        <v>6143</v>
      </c>
      <c r="AX522" s="3" t="s">
        <v>6143</v>
      </c>
      <c r="AY522" s="3" t="s">
        <v>6144</v>
      </c>
      <c r="AZ522" s="3" t="s">
        <v>75</v>
      </c>
      <c r="BC522" s="3" t="s">
        <v>6145</v>
      </c>
      <c r="BD522" s="3" t="s">
        <v>6146</v>
      </c>
    </row>
    <row r="523" spans="1:56" ht="44.25" customHeight="1" x14ac:dyDescent="0.25">
      <c r="A523" s="7" t="s">
        <v>61</v>
      </c>
      <c r="B523" s="2" t="s">
        <v>6147</v>
      </c>
      <c r="C523" s="2" t="s">
        <v>6148</v>
      </c>
      <c r="D523" s="2" t="s">
        <v>6149</v>
      </c>
      <c r="F523" s="3" t="s">
        <v>61</v>
      </c>
      <c r="G523" s="3" t="s">
        <v>60</v>
      </c>
      <c r="H523" s="3" t="s">
        <v>61</v>
      </c>
      <c r="I523" s="3" t="s">
        <v>61</v>
      </c>
      <c r="J523" s="3" t="s">
        <v>62</v>
      </c>
      <c r="K523" s="2" t="s">
        <v>6150</v>
      </c>
      <c r="L523" s="2" t="s">
        <v>6151</v>
      </c>
      <c r="M523" s="3" t="s">
        <v>1376</v>
      </c>
      <c r="O523" s="3" t="s">
        <v>114</v>
      </c>
      <c r="P523" s="3" t="s">
        <v>235</v>
      </c>
      <c r="Q523" s="2" t="s">
        <v>6152</v>
      </c>
      <c r="R523" s="3" t="s">
        <v>68</v>
      </c>
      <c r="S523" s="4">
        <v>7</v>
      </c>
      <c r="T523" s="4">
        <v>7</v>
      </c>
      <c r="U523" s="5" t="s">
        <v>4364</v>
      </c>
      <c r="V523" s="5" t="s">
        <v>4364</v>
      </c>
      <c r="W523" s="5" t="s">
        <v>6153</v>
      </c>
      <c r="X523" s="5" t="s">
        <v>6153</v>
      </c>
      <c r="Y523" s="4">
        <v>210</v>
      </c>
      <c r="Z523" s="4">
        <v>183</v>
      </c>
      <c r="AA523" s="4">
        <v>346</v>
      </c>
      <c r="AB523" s="4">
        <v>1</v>
      </c>
      <c r="AC523" s="4">
        <v>2</v>
      </c>
      <c r="AD523" s="4">
        <v>8</v>
      </c>
      <c r="AE523" s="4">
        <v>10</v>
      </c>
      <c r="AF523" s="4">
        <v>1</v>
      </c>
      <c r="AG523" s="4">
        <v>2</v>
      </c>
      <c r="AH523" s="4">
        <v>3</v>
      </c>
      <c r="AI523" s="4">
        <v>4</v>
      </c>
      <c r="AJ523" s="4">
        <v>4</v>
      </c>
      <c r="AK523" s="4">
        <v>5</v>
      </c>
      <c r="AL523" s="4">
        <v>0</v>
      </c>
      <c r="AM523" s="4">
        <v>0</v>
      </c>
      <c r="AN523" s="4">
        <v>1</v>
      </c>
      <c r="AO523" s="4">
        <v>1</v>
      </c>
      <c r="AP523" s="3" t="s">
        <v>61</v>
      </c>
      <c r="AQ523" s="3" t="s">
        <v>61</v>
      </c>
      <c r="AS523" s="6" t="str">
        <f>HYPERLINK("https://creighton-primo.hosted.exlibrisgroup.com/primo-explore/search?tab=default_tab&amp;search_scope=EVERYTHING&amp;vid=01CRU&amp;lang=en_US&amp;offset=0&amp;query=any,contains,991000087939702656","Catalog Record")</f>
        <v>Catalog Record</v>
      </c>
      <c r="AT523" s="6" t="str">
        <f>HYPERLINK("http://www.worldcat.org/oclc/34406","WorldCat Record")</f>
        <v>WorldCat Record</v>
      </c>
      <c r="AU523" s="3" t="s">
        <v>6154</v>
      </c>
      <c r="AV523" s="3" t="s">
        <v>6155</v>
      </c>
      <c r="AW523" s="3" t="s">
        <v>6156</v>
      </c>
      <c r="AX523" s="3" t="s">
        <v>6156</v>
      </c>
      <c r="AY523" s="3" t="s">
        <v>6157</v>
      </c>
      <c r="AZ523" s="3" t="s">
        <v>75</v>
      </c>
      <c r="BC523" s="3" t="s">
        <v>6158</v>
      </c>
      <c r="BD523" s="3" t="s">
        <v>6159</v>
      </c>
    </row>
    <row r="524" spans="1:56" ht="44.25" customHeight="1" x14ac:dyDescent="0.25">
      <c r="A524" s="7" t="s">
        <v>61</v>
      </c>
      <c r="B524" s="2" t="s">
        <v>6160</v>
      </c>
      <c r="C524" s="2" t="s">
        <v>6161</v>
      </c>
      <c r="D524" s="2" t="s">
        <v>6162</v>
      </c>
      <c r="F524" s="3" t="s">
        <v>61</v>
      </c>
      <c r="G524" s="3" t="s">
        <v>60</v>
      </c>
      <c r="H524" s="3" t="s">
        <v>61</v>
      </c>
      <c r="I524" s="3" t="s">
        <v>59</v>
      </c>
      <c r="J524" s="3" t="s">
        <v>62</v>
      </c>
      <c r="K524" s="2" t="s">
        <v>896</v>
      </c>
      <c r="L524" s="2" t="s">
        <v>897</v>
      </c>
      <c r="M524" s="3" t="s">
        <v>113</v>
      </c>
      <c r="N524" s="2" t="s">
        <v>898</v>
      </c>
      <c r="O524" s="3" t="s">
        <v>114</v>
      </c>
      <c r="P524" s="3" t="s">
        <v>235</v>
      </c>
      <c r="Q524" s="2" t="s">
        <v>899</v>
      </c>
      <c r="R524" s="3" t="s">
        <v>68</v>
      </c>
      <c r="S524" s="4">
        <v>5</v>
      </c>
      <c r="T524" s="4">
        <v>5</v>
      </c>
      <c r="U524" s="5" t="s">
        <v>6163</v>
      </c>
      <c r="V524" s="5" t="s">
        <v>6163</v>
      </c>
      <c r="W524" s="5" t="s">
        <v>901</v>
      </c>
      <c r="X524" s="5" t="s">
        <v>901</v>
      </c>
      <c r="Y524" s="4">
        <v>308</v>
      </c>
      <c r="Z524" s="4">
        <v>302</v>
      </c>
      <c r="AA524" s="4">
        <v>439</v>
      </c>
      <c r="AB524" s="4">
        <v>4</v>
      </c>
      <c r="AC524" s="4">
        <v>7</v>
      </c>
      <c r="AD524" s="4">
        <v>1</v>
      </c>
      <c r="AE524" s="4">
        <v>4</v>
      </c>
      <c r="AF524" s="4">
        <v>0</v>
      </c>
      <c r="AG524" s="4">
        <v>0</v>
      </c>
      <c r="AH524" s="4">
        <v>0</v>
      </c>
      <c r="AI524" s="4">
        <v>1</v>
      </c>
      <c r="AJ524" s="4">
        <v>1</v>
      </c>
      <c r="AK524" s="4">
        <v>1</v>
      </c>
      <c r="AL524" s="4">
        <v>0</v>
      </c>
      <c r="AM524" s="4">
        <v>2</v>
      </c>
      <c r="AN524" s="4">
        <v>0</v>
      </c>
      <c r="AO524" s="4">
        <v>0</v>
      </c>
      <c r="AP524" s="3" t="s">
        <v>61</v>
      </c>
      <c r="AQ524" s="3" t="s">
        <v>61</v>
      </c>
      <c r="AS524" s="6" t="str">
        <f>HYPERLINK("https://creighton-primo.hosted.exlibrisgroup.com/primo-explore/search?tab=default_tab&amp;search_scope=EVERYTHING&amp;vid=01CRU&amp;lang=en_US&amp;offset=0&amp;query=any,contains,991004176209702656","Catalog Record")</f>
        <v>Catalog Record</v>
      </c>
      <c r="AT524" s="6" t="str">
        <f>HYPERLINK("http://www.worldcat.org/oclc/965466","WorldCat Record")</f>
        <v>WorldCat Record</v>
      </c>
      <c r="AU524" s="3" t="s">
        <v>6164</v>
      </c>
      <c r="AV524" s="3" t="s">
        <v>6165</v>
      </c>
      <c r="AW524" s="3" t="s">
        <v>6166</v>
      </c>
      <c r="AX524" s="3" t="s">
        <v>6166</v>
      </c>
      <c r="AY524" s="3" t="s">
        <v>6167</v>
      </c>
      <c r="AZ524" s="3" t="s">
        <v>75</v>
      </c>
      <c r="BC524" s="3" t="s">
        <v>6168</v>
      </c>
      <c r="BD524" s="3" t="s">
        <v>6169</v>
      </c>
    </row>
    <row r="525" spans="1:56" ht="44.25" customHeight="1" x14ac:dyDescent="0.25">
      <c r="A525" s="7" t="s">
        <v>61</v>
      </c>
      <c r="B525" s="2" t="s">
        <v>6170</v>
      </c>
      <c r="C525" s="2" t="s">
        <v>6171</v>
      </c>
      <c r="D525" s="2" t="s">
        <v>6172</v>
      </c>
      <c r="F525" s="3" t="s">
        <v>61</v>
      </c>
      <c r="G525" s="3" t="s">
        <v>60</v>
      </c>
      <c r="H525" s="3" t="s">
        <v>61</v>
      </c>
      <c r="I525" s="3" t="s">
        <v>59</v>
      </c>
      <c r="J525" s="3" t="s">
        <v>62</v>
      </c>
      <c r="K525" s="2" t="s">
        <v>896</v>
      </c>
      <c r="L525" s="2" t="s">
        <v>897</v>
      </c>
      <c r="M525" s="3" t="s">
        <v>113</v>
      </c>
      <c r="N525" s="2" t="s">
        <v>6173</v>
      </c>
      <c r="O525" s="3" t="s">
        <v>114</v>
      </c>
      <c r="P525" s="3" t="s">
        <v>235</v>
      </c>
      <c r="Q525" s="2" t="s">
        <v>899</v>
      </c>
      <c r="R525" s="3" t="s">
        <v>68</v>
      </c>
      <c r="S525" s="4">
        <v>8</v>
      </c>
      <c r="T525" s="4">
        <v>8</v>
      </c>
      <c r="U525" s="5" t="s">
        <v>6174</v>
      </c>
      <c r="V525" s="5" t="s">
        <v>6174</v>
      </c>
      <c r="W525" s="5" t="s">
        <v>901</v>
      </c>
      <c r="X525" s="5" t="s">
        <v>901</v>
      </c>
      <c r="Y525" s="4">
        <v>327</v>
      </c>
      <c r="Z525" s="4">
        <v>323</v>
      </c>
      <c r="AA525" s="4">
        <v>439</v>
      </c>
      <c r="AB525" s="4">
        <v>4</v>
      </c>
      <c r="AC525" s="4">
        <v>7</v>
      </c>
      <c r="AD525" s="4">
        <v>2</v>
      </c>
      <c r="AE525" s="4">
        <v>4</v>
      </c>
      <c r="AF525" s="4">
        <v>0</v>
      </c>
      <c r="AG525" s="4">
        <v>0</v>
      </c>
      <c r="AH525" s="4">
        <v>1</v>
      </c>
      <c r="AI525" s="4">
        <v>1</v>
      </c>
      <c r="AJ525" s="4">
        <v>0</v>
      </c>
      <c r="AK525" s="4">
        <v>1</v>
      </c>
      <c r="AL525" s="4">
        <v>1</v>
      </c>
      <c r="AM525" s="4">
        <v>2</v>
      </c>
      <c r="AN525" s="4">
        <v>0</v>
      </c>
      <c r="AO525" s="4">
        <v>0</v>
      </c>
      <c r="AP525" s="3" t="s">
        <v>61</v>
      </c>
      <c r="AQ525" s="3" t="s">
        <v>61</v>
      </c>
      <c r="AS525" s="6" t="str">
        <f>HYPERLINK("https://creighton-primo.hosted.exlibrisgroup.com/primo-explore/search?tab=default_tab&amp;search_scope=EVERYTHING&amp;vid=01CRU&amp;lang=en_US&amp;offset=0&amp;query=any,contains,991004161159702656","Catalog Record")</f>
        <v>Catalog Record</v>
      </c>
      <c r="AT525" s="6" t="str">
        <f>HYPERLINK("http://www.worldcat.org/oclc/711783","WorldCat Record")</f>
        <v>WorldCat Record</v>
      </c>
      <c r="AU525" s="3" t="s">
        <v>6164</v>
      </c>
      <c r="AV525" s="3" t="s">
        <v>6175</v>
      </c>
      <c r="AW525" s="3" t="s">
        <v>6176</v>
      </c>
      <c r="AX525" s="3" t="s">
        <v>6176</v>
      </c>
      <c r="AY525" s="3" t="s">
        <v>6177</v>
      </c>
      <c r="AZ525" s="3" t="s">
        <v>75</v>
      </c>
      <c r="BC525" s="3" t="s">
        <v>6178</v>
      </c>
      <c r="BD525" s="3" t="s">
        <v>6179</v>
      </c>
    </row>
    <row r="526" spans="1:56" ht="44.25" customHeight="1" x14ac:dyDescent="0.25">
      <c r="A526" s="7" t="s">
        <v>61</v>
      </c>
      <c r="B526" s="2" t="s">
        <v>6180</v>
      </c>
      <c r="C526" s="2" t="s">
        <v>6181</v>
      </c>
      <c r="D526" s="2" t="s">
        <v>6182</v>
      </c>
      <c r="F526" s="3" t="s">
        <v>61</v>
      </c>
      <c r="G526" s="3" t="s">
        <v>60</v>
      </c>
      <c r="H526" s="3" t="s">
        <v>61</v>
      </c>
      <c r="I526" s="3" t="s">
        <v>61</v>
      </c>
      <c r="J526" s="3" t="s">
        <v>62</v>
      </c>
      <c r="K526" s="2" t="s">
        <v>6183</v>
      </c>
      <c r="L526" s="2" t="s">
        <v>6184</v>
      </c>
      <c r="M526" s="3" t="s">
        <v>1376</v>
      </c>
      <c r="O526" s="3" t="s">
        <v>114</v>
      </c>
      <c r="P526" s="3" t="s">
        <v>364</v>
      </c>
      <c r="Q526" s="2" t="s">
        <v>6185</v>
      </c>
      <c r="R526" s="3" t="s">
        <v>68</v>
      </c>
      <c r="S526" s="4">
        <v>2</v>
      </c>
      <c r="T526" s="4">
        <v>2</v>
      </c>
      <c r="U526" s="5" t="s">
        <v>6186</v>
      </c>
      <c r="V526" s="5" t="s">
        <v>6186</v>
      </c>
      <c r="W526" s="5" t="s">
        <v>5327</v>
      </c>
      <c r="X526" s="5" t="s">
        <v>5327</v>
      </c>
      <c r="Y526" s="4">
        <v>275</v>
      </c>
      <c r="Z526" s="4">
        <v>256</v>
      </c>
      <c r="AA526" s="4">
        <v>493</v>
      </c>
      <c r="AB526" s="4">
        <v>4</v>
      </c>
      <c r="AC526" s="4">
        <v>5</v>
      </c>
      <c r="AD526" s="4">
        <v>15</v>
      </c>
      <c r="AE526" s="4">
        <v>24</v>
      </c>
      <c r="AF526" s="4">
        <v>3</v>
      </c>
      <c r="AG526" s="4">
        <v>7</v>
      </c>
      <c r="AH526" s="4">
        <v>7</v>
      </c>
      <c r="AI526" s="4">
        <v>8</v>
      </c>
      <c r="AJ526" s="4">
        <v>8</v>
      </c>
      <c r="AK526" s="4">
        <v>12</v>
      </c>
      <c r="AL526" s="4">
        <v>2</v>
      </c>
      <c r="AM526" s="4">
        <v>3</v>
      </c>
      <c r="AN526" s="4">
        <v>0</v>
      </c>
      <c r="AO526" s="4">
        <v>0</v>
      </c>
      <c r="AP526" s="3" t="s">
        <v>61</v>
      </c>
      <c r="AQ526" s="3" t="s">
        <v>59</v>
      </c>
      <c r="AR526" s="6" t="str">
        <f>HYPERLINK("http://catalog.hathitrust.org/Record/007526363","HathiTrust Record")</f>
        <v>HathiTrust Record</v>
      </c>
      <c r="AS526" s="6" t="str">
        <f>HYPERLINK("https://creighton-primo.hosted.exlibrisgroup.com/primo-explore/search?tab=default_tab&amp;search_scope=EVERYTHING&amp;vid=01CRU&amp;lang=en_US&amp;offset=0&amp;query=any,contains,991005439239702656","Catalog Record")</f>
        <v>Catalog Record</v>
      </c>
      <c r="AT526" s="6" t="str">
        <f>HYPERLINK("http://www.worldcat.org/oclc/6426","WorldCat Record")</f>
        <v>WorldCat Record</v>
      </c>
      <c r="AU526" s="3" t="s">
        <v>6187</v>
      </c>
      <c r="AV526" s="3" t="s">
        <v>6188</v>
      </c>
      <c r="AW526" s="3" t="s">
        <v>6189</v>
      </c>
      <c r="AX526" s="3" t="s">
        <v>6189</v>
      </c>
      <c r="AY526" s="3" t="s">
        <v>6190</v>
      </c>
      <c r="AZ526" s="3" t="s">
        <v>75</v>
      </c>
      <c r="BC526" s="3" t="s">
        <v>6191</v>
      </c>
      <c r="BD526" s="3" t="s">
        <v>6192</v>
      </c>
    </row>
    <row r="527" spans="1:56" ht="44.25" customHeight="1" x14ac:dyDescent="0.25">
      <c r="A527" s="7" t="s">
        <v>61</v>
      </c>
      <c r="B527" s="2" t="s">
        <v>6193</v>
      </c>
      <c r="C527" s="2" t="s">
        <v>6194</v>
      </c>
      <c r="D527" s="2" t="s">
        <v>6195</v>
      </c>
      <c r="F527" s="3" t="s">
        <v>61</v>
      </c>
      <c r="G527" s="3" t="s">
        <v>60</v>
      </c>
      <c r="H527" s="3" t="s">
        <v>61</v>
      </c>
      <c r="I527" s="3" t="s">
        <v>61</v>
      </c>
      <c r="J527" s="3" t="s">
        <v>62</v>
      </c>
      <c r="K527" s="2" t="s">
        <v>6196</v>
      </c>
      <c r="L527" s="2" t="s">
        <v>6197</v>
      </c>
      <c r="M527" s="3" t="s">
        <v>6198</v>
      </c>
      <c r="O527" s="3" t="s">
        <v>114</v>
      </c>
      <c r="P527" s="3" t="s">
        <v>192</v>
      </c>
      <c r="R527" s="3" t="s">
        <v>68</v>
      </c>
      <c r="S527" s="4">
        <v>2</v>
      </c>
      <c r="T527" s="4">
        <v>2</v>
      </c>
      <c r="U527" s="5" t="s">
        <v>2983</v>
      </c>
      <c r="V527" s="5" t="s">
        <v>2983</v>
      </c>
      <c r="W527" s="5" t="s">
        <v>5327</v>
      </c>
      <c r="X527" s="5" t="s">
        <v>5327</v>
      </c>
      <c r="Y527" s="4">
        <v>78</v>
      </c>
      <c r="Z527" s="4">
        <v>56</v>
      </c>
      <c r="AA527" s="4">
        <v>76</v>
      </c>
      <c r="AB527" s="4">
        <v>2</v>
      </c>
      <c r="AC527" s="4">
        <v>2</v>
      </c>
      <c r="AD527" s="4">
        <v>1</v>
      </c>
      <c r="AE527" s="4">
        <v>2</v>
      </c>
      <c r="AF527" s="4">
        <v>0</v>
      </c>
      <c r="AG527" s="4">
        <v>0</v>
      </c>
      <c r="AH527" s="4">
        <v>0</v>
      </c>
      <c r="AI527" s="4">
        <v>0</v>
      </c>
      <c r="AJ527" s="4">
        <v>1</v>
      </c>
      <c r="AK527" s="4">
        <v>2</v>
      </c>
      <c r="AL527" s="4">
        <v>0</v>
      </c>
      <c r="AM527" s="4">
        <v>0</v>
      </c>
      <c r="AN527" s="4">
        <v>0</v>
      </c>
      <c r="AO527" s="4">
        <v>0</v>
      </c>
      <c r="AP527" s="3" t="s">
        <v>59</v>
      </c>
      <c r="AQ527" s="3" t="s">
        <v>61</v>
      </c>
      <c r="AR527" s="6" t="str">
        <f>HYPERLINK("http://catalog.hathitrust.org/Record/008586184","HathiTrust Record")</f>
        <v>HathiTrust Record</v>
      </c>
      <c r="AS527" s="6" t="str">
        <f>HYPERLINK("https://creighton-primo.hosted.exlibrisgroup.com/primo-explore/search?tab=default_tab&amp;search_scope=EVERYTHING&amp;vid=01CRU&amp;lang=en_US&amp;offset=0&amp;query=any,contains,991003896619702656","Catalog Record")</f>
        <v>Catalog Record</v>
      </c>
      <c r="AT527" s="6" t="str">
        <f>HYPERLINK("http://www.worldcat.org/oclc/660148933","WorldCat Record")</f>
        <v>WorldCat Record</v>
      </c>
      <c r="AU527" s="3" t="s">
        <v>6199</v>
      </c>
      <c r="AV527" s="3" t="s">
        <v>6200</v>
      </c>
      <c r="AW527" s="3" t="s">
        <v>6201</v>
      </c>
      <c r="AX527" s="3" t="s">
        <v>6201</v>
      </c>
      <c r="AY527" s="3" t="s">
        <v>6202</v>
      </c>
      <c r="AZ527" s="3" t="s">
        <v>75</v>
      </c>
      <c r="BC527" s="3" t="s">
        <v>6203</v>
      </c>
      <c r="BD527" s="3" t="s">
        <v>6204</v>
      </c>
    </row>
    <row r="528" spans="1:56" ht="44.25" customHeight="1" x14ac:dyDescent="0.25">
      <c r="A528" s="7" t="s">
        <v>61</v>
      </c>
      <c r="B528" s="2" t="s">
        <v>6205</v>
      </c>
      <c r="C528" s="2" t="s">
        <v>6206</v>
      </c>
      <c r="D528" s="2" t="s">
        <v>6207</v>
      </c>
      <c r="F528" s="3" t="s">
        <v>61</v>
      </c>
      <c r="G528" s="3" t="s">
        <v>60</v>
      </c>
      <c r="H528" s="3" t="s">
        <v>61</v>
      </c>
      <c r="I528" s="3" t="s">
        <v>61</v>
      </c>
      <c r="J528" s="3" t="s">
        <v>62</v>
      </c>
      <c r="K528" s="2" t="s">
        <v>6208</v>
      </c>
      <c r="L528" s="2" t="s">
        <v>6209</v>
      </c>
      <c r="M528" s="3" t="s">
        <v>305</v>
      </c>
      <c r="O528" s="3" t="s">
        <v>114</v>
      </c>
      <c r="P528" s="3" t="s">
        <v>235</v>
      </c>
      <c r="R528" s="3" t="s">
        <v>68</v>
      </c>
      <c r="S528" s="4">
        <v>1</v>
      </c>
      <c r="T528" s="4">
        <v>1</v>
      </c>
      <c r="U528" s="5" t="s">
        <v>6210</v>
      </c>
      <c r="V528" s="5" t="s">
        <v>6210</v>
      </c>
      <c r="W528" s="5" t="s">
        <v>6211</v>
      </c>
      <c r="X528" s="5" t="s">
        <v>6211</v>
      </c>
      <c r="Y528" s="4">
        <v>1163</v>
      </c>
      <c r="Z528" s="4">
        <v>1038</v>
      </c>
      <c r="AA528" s="4">
        <v>2309</v>
      </c>
      <c r="AB528" s="4">
        <v>8</v>
      </c>
      <c r="AC528" s="4">
        <v>16</v>
      </c>
      <c r="AD528" s="4">
        <v>42</v>
      </c>
      <c r="AE528" s="4">
        <v>64</v>
      </c>
      <c r="AF528" s="4">
        <v>15</v>
      </c>
      <c r="AG528" s="4">
        <v>25</v>
      </c>
      <c r="AH528" s="4">
        <v>8</v>
      </c>
      <c r="AI528" s="4">
        <v>11</v>
      </c>
      <c r="AJ528" s="4">
        <v>20</v>
      </c>
      <c r="AK528" s="4">
        <v>27</v>
      </c>
      <c r="AL528" s="4">
        <v>7</v>
      </c>
      <c r="AM528" s="4">
        <v>14</v>
      </c>
      <c r="AN528" s="4">
        <v>0</v>
      </c>
      <c r="AO528" s="4">
        <v>0</v>
      </c>
      <c r="AP528" s="3" t="s">
        <v>61</v>
      </c>
      <c r="AQ528" s="3" t="s">
        <v>59</v>
      </c>
      <c r="AR528" s="6" t="str">
        <f>HYPERLINK("http://catalog.hathitrust.org/Record/000479234","HathiTrust Record")</f>
        <v>HathiTrust Record</v>
      </c>
      <c r="AS528" s="6" t="str">
        <f>HYPERLINK("https://creighton-primo.hosted.exlibrisgroup.com/primo-explore/search?tab=default_tab&amp;search_scope=EVERYTHING&amp;vid=01CRU&amp;lang=en_US&amp;offset=0&amp;query=any,contains,991002663759702656","Catalog Record")</f>
        <v>Catalog Record</v>
      </c>
      <c r="AT528" s="6" t="str">
        <f>HYPERLINK("http://www.worldcat.org/oclc/392306","WorldCat Record")</f>
        <v>WorldCat Record</v>
      </c>
      <c r="AU528" s="3" t="s">
        <v>6212</v>
      </c>
      <c r="AV528" s="3" t="s">
        <v>6213</v>
      </c>
      <c r="AW528" s="3" t="s">
        <v>6214</v>
      </c>
      <c r="AX528" s="3" t="s">
        <v>6214</v>
      </c>
      <c r="AY528" s="3" t="s">
        <v>6215</v>
      </c>
      <c r="AZ528" s="3" t="s">
        <v>75</v>
      </c>
      <c r="BC528" s="3" t="s">
        <v>6216</v>
      </c>
      <c r="BD528" s="3" t="s">
        <v>6217</v>
      </c>
    </row>
    <row r="529" spans="1:56" ht="44.25" customHeight="1" x14ac:dyDescent="0.25">
      <c r="A529" s="7" t="s">
        <v>61</v>
      </c>
      <c r="B529" s="2" t="s">
        <v>6218</v>
      </c>
      <c r="C529" s="2" t="s">
        <v>6219</v>
      </c>
      <c r="D529" s="2" t="s">
        <v>6220</v>
      </c>
      <c r="F529" s="3" t="s">
        <v>61</v>
      </c>
      <c r="G529" s="3" t="s">
        <v>60</v>
      </c>
      <c r="H529" s="3" t="s">
        <v>61</v>
      </c>
      <c r="I529" s="3" t="s">
        <v>61</v>
      </c>
      <c r="J529" s="3" t="s">
        <v>62</v>
      </c>
      <c r="K529" s="2" t="s">
        <v>6221</v>
      </c>
      <c r="L529" s="2" t="s">
        <v>6222</v>
      </c>
      <c r="M529" s="3" t="s">
        <v>1758</v>
      </c>
      <c r="N529" s="2" t="s">
        <v>679</v>
      </c>
      <c r="O529" s="3" t="s">
        <v>114</v>
      </c>
      <c r="P529" s="3" t="s">
        <v>235</v>
      </c>
      <c r="R529" s="3" t="s">
        <v>68</v>
      </c>
      <c r="S529" s="4">
        <v>3</v>
      </c>
      <c r="T529" s="4">
        <v>3</v>
      </c>
      <c r="U529" s="5" t="s">
        <v>6223</v>
      </c>
      <c r="V529" s="5" t="s">
        <v>6223</v>
      </c>
      <c r="W529" s="5" t="s">
        <v>5426</v>
      </c>
      <c r="X529" s="5" t="s">
        <v>5426</v>
      </c>
      <c r="Y529" s="4">
        <v>645</v>
      </c>
      <c r="Z529" s="4">
        <v>631</v>
      </c>
      <c r="AA529" s="4">
        <v>666</v>
      </c>
      <c r="AB529" s="4">
        <v>2</v>
      </c>
      <c r="AC529" s="4">
        <v>2</v>
      </c>
      <c r="AD529" s="4">
        <v>6</v>
      </c>
      <c r="AE529" s="4">
        <v>6</v>
      </c>
      <c r="AF529" s="4">
        <v>1</v>
      </c>
      <c r="AG529" s="4">
        <v>1</v>
      </c>
      <c r="AH529" s="4">
        <v>3</v>
      </c>
      <c r="AI529" s="4">
        <v>3</v>
      </c>
      <c r="AJ529" s="4">
        <v>4</v>
      </c>
      <c r="AK529" s="4">
        <v>4</v>
      </c>
      <c r="AL529" s="4">
        <v>0</v>
      </c>
      <c r="AM529" s="4">
        <v>0</v>
      </c>
      <c r="AN529" s="4">
        <v>0</v>
      </c>
      <c r="AO529" s="4">
        <v>0</v>
      </c>
      <c r="AP529" s="3" t="s">
        <v>61</v>
      </c>
      <c r="AQ529" s="3" t="s">
        <v>59</v>
      </c>
      <c r="AR529" s="6" t="str">
        <f>HYPERLINK("http://catalog.hathitrust.org/Record/000105336","HathiTrust Record")</f>
        <v>HathiTrust Record</v>
      </c>
      <c r="AS529" s="6" t="str">
        <f>HYPERLINK("https://creighton-primo.hosted.exlibrisgroup.com/primo-explore/search?tab=default_tab&amp;search_scope=EVERYTHING&amp;vid=01CRU&amp;lang=en_US&amp;offset=0&amp;query=any,contains,991005179869702656","Catalog Record")</f>
        <v>Catalog Record</v>
      </c>
      <c r="AT529" s="6" t="str">
        <f>HYPERLINK("http://www.worldcat.org/oclc/7945015","WorldCat Record")</f>
        <v>WorldCat Record</v>
      </c>
      <c r="AU529" s="3" t="s">
        <v>6224</v>
      </c>
      <c r="AV529" s="3" t="s">
        <v>6225</v>
      </c>
      <c r="AW529" s="3" t="s">
        <v>6226</v>
      </c>
      <c r="AX529" s="3" t="s">
        <v>6226</v>
      </c>
      <c r="AY529" s="3" t="s">
        <v>6227</v>
      </c>
      <c r="AZ529" s="3" t="s">
        <v>75</v>
      </c>
      <c r="BB529" s="3" t="s">
        <v>6228</v>
      </c>
      <c r="BC529" s="3" t="s">
        <v>6229</v>
      </c>
      <c r="BD529" s="3" t="s">
        <v>6230</v>
      </c>
    </row>
    <row r="530" spans="1:56" ht="44.25" customHeight="1" x14ac:dyDescent="0.25">
      <c r="A530" s="7" t="s">
        <v>61</v>
      </c>
      <c r="B530" s="2" t="s">
        <v>6231</v>
      </c>
      <c r="C530" s="2" t="s">
        <v>6232</v>
      </c>
      <c r="D530" s="2" t="s">
        <v>6233</v>
      </c>
      <c r="F530" s="3" t="s">
        <v>61</v>
      </c>
      <c r="G530" s="3" t="s">
        <v>60</v>
      </c>
      <c r="H530" s="3" t="s">
        <v>61</v>
      </c>
      <c r="I530" s="3" t="s">
        <v>61</v>
      </c>
      <c r="J530" s="3" t="s">
        <v>62</v>
      </c>
      <c r="K530" s="2" t="s">
        <v>6234</v>
      </c>
      <c r="L530" s="2" t="s">
        <v>6235</v>
      </c>
      <c r="M530" s="3" t="s">
        <v>220</v>
      </c>
      <c r="O530" s="3" t="s">
        <v>114</v>
      </c>
      <c r="P530" s="3" t="s">
        <v>235</v>
      </c>
      <c r="R530" s="3" t="s">
        <v>68</v>
      </c>
      <c r="S530" s="4">
        <v>2</v>
      </c>
      <c r="T530" s="4">
        <v>2</v>
      </c>
      <c r="U530" s="5" t="s">
        <v>6236</v>
      </c>
      <c r="V530" s="5" t="s">
        <v>6236</v>
      </c>
      <c r="W530" s="5" t="s">
        <v>6237</v>
      </c>
      <c r="X530" s="5" t="s">
        <v>6237</v>
      </c>
      <c r="Y530" s="4">
        <v>1572</v>
      </c>
      <c r="Z530" s="4">
        <v>1526</v>
      </c>
      <c r="AA530" s="4">
        <v>1735</v>
      </c>
      <c r="AB530" s="4">
        <v>13</v>
      </c>
      <c r="AC530" s="4">
        <v>17</v>
      </c>
      <c r="AD530" s="4">
        <v>28</v>
      </c>
      <c r="AE530" s="4">
        <v>30</v>
      </c>
      <c r="AF530" s="4">
        <v>13</v>
      </c>
      <c r="AG530" s="4">
        <v>15</v>
      </c>
      <c r="AH530" s="4">
        <v>5</v>
      </c>
      <c r="AI530" s="4">
        <v>5</v>
      </c>
      <c r="AJ530" s="4">
        <v>12</v>
      </c>
      <c r="AK530" s="4">
        <v>12</v>
      </c>
      <c r="AL530" s="4">
        <v>6</v>
      </c>
      <c r="AM530" s="4">
        <v>6</v>
      </c>
      <c r="AN530" s="4">
        <v>0</v>
      </c>
      <c r="AO530" s="4">
        <v>0</v>
      </c>
      <c r="AP530" s="3" t="s">
        <v>61</v>
      </c>
      <c r="AQ530" s="3" t="s">
        <v>61</v>
      </c>
      <c r="AS530" s="6" t="str">
        <f>HYPERLINK("https://creighton-primo.hosted.exlibrisgroup.com/primo-explore/search?tab=default_tab&amp;search_scope=EVERYTHING&amp;vid=01CRU&amp;lang=en_US&amp;offset=0&amp;query=any,contains,991003819379702656","Catalog Record")</f>
        <v>Catalog Record</v>
      </c>
      <c r="AT530" s="6" t="str">
        <f>HYPERLINK("http://www.worldcat.org/oclc/48558782","WorldCat Record")</f>
        <v>WorldCat Record</v>
      </c>
      <c r="AU530" s="3" t="s">
        <v>6238</v>
      </c>
      <c r="AV530" s="3" t="s">
        <v>6239</v>
      </c>
      <c r="AW530" s="3" t="s">
        <v>6240</v>
      </c>
      <c r="AX530" s="3" t="s">
        <v>6240</v>
      </c>
      <c r="AY530" s="3" t="s">
        <v>6241</v>
      </c>
      <c r="AZ530" s="3" t="s">
        <v>75</v>
      </c>
      <c r="BB530" s="3" t="s">
        <v>6242</v>
      </c>
      <c r="BC530" s="3" t="s">
        <v>6243</v>
      </c>
      <c r="BD530" s="3" t="s">
        <v>6244</v>
      </c>
    </row>
    <row r="531" spans="1:56" ht="44.25" customHeight="1" x14ac:dyDescent="0.25">
      <c r="A531" s="7" t="s">
        <v>61</v>
      </c>
      <c r="B531" s="2" t="s">
        <v>6245</v>
      </c>
      <c r="C531" s="2" t="s">
        <v>6246</v>
      </c>
      <c r="D531" s="2" t="s">
        <v>6247</v>
      </c>
      <c r="F531" s="3" t="s">
        <v>61</v>
      </c>
      <c r="G531" s="3" t="s">
        <v>60</v>
      </c>
      <c r="H531" s="3" t="s">
        <v>61</v>
      </c>
      <c r="I531" s="3" t="s">
        <v>61</v>
      </c>
      <c r="J531" s="3" t="s">
        <v>62</v>
      </c>
      <c r="L531" s="2" t="s">
        <v>6248</v>
      </c>
      <c r="M531" s="3" t="s">
        <v>2608</v>
      </c>
      <c r="O531" s="3" t="s">
        <v>114</v>
      </c>
      <c r="P531" s="3" t="s">
        <v>115</v>
      </c>
      <c r="R531" s="3" t="s">
        <v>68</v>
      </c>
      <c r="S531" s="4">
        <v>1</v>
      </c>
      <c r="T531" s="4">
        <v>1</v>
      </c>
      <c r="U531" s="5" t="s">
        <v>6249</v>
      </c>
      <c r="V531" s="5" t="s">
        <v>6249</v>
      </c>
      <c r="W531" s="5" t="s">
        <v>1090</v>
      </c>
      <c r="X531" s="5" t="s">
        <v>1090</v>
      </c>
      <c r="Y531" s="4">
        <v>153</v>
      </c>
      <c r="Z531" s="4">
        <v>136</v>
      </c>
      <c r="AA531" s="4">
        <v>297</v>
      </c>
      <c r="AB531" s="4">
        <v>2</v>
      </c>
      <c r="AC531" s="4">
        <v>3</v>
      </c>
      <c r="AD531" s="4">
        <v>10</v>
      </c>
      <c r="AE531" s="4">
        <v>20</v>
      </c>
      <c r="AF531" s="4">
        <v>1</v>
      </c>
      <c r="AG531" s="4">
        <v>5</v>
      </c>
      <c r="AH531" s="4">
        <v>2</v>
      </c>
      <c r="AI531" s="4">
        <v>4</v>
      </c>
      <c r="AJ531" s="4">
        <v>6</v>
      </c>
      <c r="AK531" s="4">
        <v>11</v>
      </c>
      <c r="AL531" s="4">
        <v>1</v>
      </c>
      <c r="AM531" s="4">
        <v>2</v>
      </c>
      <c r="AN531" s="4">
        <v>2</v>
      </c>
      <c r="AO531" s="4">
        <v>3</v>
      </c>
      <c r="AP531" s="3" t="s">
        <v>61</v>
      </c>
      <c r="AQ531" s="3" t="s">
        <v>59</v>
      </c>
      <c r="AR531" s="6" t="str">
        <f>HYPERLINK("http://catalog.hathitrust.org/Record/000663401","HathiTrust Record")</f>
        <v>HathiTrust Record</v>
      </c>
      <c r="AS531" s="6" t="str">
        <f>HYPERLINK("https://creighton-primo.hosted.exlibrisgroup.com/primo-explore/search?tab=default_tab&amp;search_scope=EVERYTHING&amp;vid=01CRU&amp;lang=en_US&amp;offset=0&amp;query=any,contains,991003158539702656","Catalog Record")</f>
        <v>Catalog Record</v>
      </c>
      <c r="AT531" s="6" t="str">
        <f>HYPERLINK("http://www.worldcat.org/oclc/697803","WorldCat Record")</f>
        <v>WorldCat Record</v>
      </c>
      <c r="AU531" s="3" t="s">
        <v>6250</v>
      </c>
      <c r="AV531" s="3" t="s">
        <v>6251</v>
      </c>
      <c r="AW531" s="3" t="s">
        <v>6252</v>
      </c>
      <c r="AX531" s="3" t="s">
        <v>6252</v>
      </c>
      <c r="AY531" s="3" t="s">
        <v>6253</v>
      </c>
      <c r="AZ531" s="3" t="s">
        <v>75</v>
      </c>
      <c r="BC531" s="3" t="s">
        <v>6254</v>
      </c>
      <c r="BD531" s="3" t="s">
        <v>6255</v>
      </c>
    </row>
    <row r="532" spans="1:56" ht="44.25" customHeight="1" x14ac:dyDescent="0.25">
      <c r="A532" s="7" t="s">
        <v>61</v>
      </c>
      <c r="B532" s="2" t="s">
        <v>6256</v>
      </c>
      <c r="C532" s="2" t="s">
        <v>6257</v>
      </c>
      <c r="D532" s="2" t="s">
        <v>6258</v>
      </c>
      <c r="E532" s="3" t="s">
        <v>6259</v>
      </c>
      <c r="F532" s="3" t="s">
        <v>61</v>
      </c>
      <c r="G532" s="3" t="s">
        <v>60</v>
      </c>
      <c r="H532" s="3" t="s">
        <v>61</v>
      </c>
      <c r="I532" s="3" t="s">
        <v>61</v>
      </c>
      <c r="J532" s="3" t="s">
        <v>62</v>
      </c>
      <c r="K532" s="2" t="s">
        <v>6260</v>
      </c>
      <c r="L532" s="2" t="s">
        <v>1375</v>
      </c>
      <c r="M532" s="3" t="s">
        <v>1376</v>
      </c>
      <c r="N532" s="2" t="s">
        <v>306</v>
      </c>
      <c r="O532" s="3" t="s">
        <v>114</v>
      </c>
      <c r="P532" s="3" t="s">
        <v>235</v>
      </c>
      <c r="Q532" s="2" t="s">
        <v>6261</v>
      </c>
      <c r="R532" s="3" t="s">
        <v>68</v>
      </c>
      <c r="S532" s="4">
        <v>6</v>
      </c>
      <c r="T532" s="4">
        <v>6</v>
      </c>
      <c r="U532" s="5" t="s">
        <v>6262</v>
      </c>
      <c r="V532" s="5" t="s">
        <v>6262</v>
      </c>
      <c r="W532" s="5" t="s">
        <v>6263</v>
      </c>
      <c r="X532" s="5" t="s">
        <v>6263</v>
      </c>
      <c r="Y532" s="4">
        <v>1449</v>
      </c>
      <c r="Z532" s="4">
        <v>1242</v>
      </c>
      <c r="AA532" s="4">
        <v>1264</v>
      </c>
      <c r="AB532" s="4">
        <v>12</v>
      </c>
      <c r="AC532" s="4">
        <v>12</v>
      </c>
      <c r="AD532" s="4">
        <v>50</v>
      </c>
      <c r="AE532" s="4">
        <v>50</v>
      </c>
      <c r="AF532" s="4">
        <v>20</v>
      </c>
      <c r="AG532" s="4">
        <v>20</v>
      </c>
      <c r="AH532" s="4">
        <v>8</v>
      </c>
      <c r="AI532" s="4">
        <v>8</v>
      </c>
      <c r="AJ532" s="4">
        <v>22</v>
      </c>
      <c r="AK532" s="4">
        <v>22</v>
      </c>
      <c r="AL532" s="4">
        <v>11</v>
      </c>
      <c r="AM532" s="4">
        <v>11</v>
      </c>
      <c r="AN532" s="4">
        <v>0</v>
      </c>
      <c r="AO532" s="4">
        <v>0</v>
      </c>
      <c r="AP532" s="3" t="s">
        <v>61</v>
      </c>
      <c r="AQ532" s="3" t="s">
        <v>59</v>
      </c>
      <c r="AR532" s="6" t="str">
        <f>HYPERLINK("http://catalog.hathitrust.org/Record/000399529","HathiTrust Record")</f>
        <v>HathiTrust Record</v>
      </c>
      <c r="AS532" s="6" t="str">
        <f>HYPERLINK("https://creighton-primo.hosted.exlibrisgroup.com/primo-explore/search?tab=default_tab&amp;search_scope=EVERYTHING&amp;vid=01CRU&amp;lang=en_US&amp;offset=0&amp;query=any,contains,991000004589702656","Catalog Record")</f>
        <v>Catalog Record</v>
      </c>
      <c r="AT532" s="6" t="str">
        <f>HYPERLINK("http://www.worldcat.org/oclc/12731","WorldCat Record")</f>
        <v>WorldCat Record</v>
      </c>
      <c r="AU532" s="3" t="s">
        <v>6264</v>
      </c>
      <c r="AV532" s="3" t="s">
        <v>6265</v>
      </c>
      <c r="AW532" s="3" t="s">
        <v>6266</v>
      </c>
      <c r="AX532" s="3" t="s">
        <v>6266</v>
      </c>
      <c r="AY532" s="3" t="s">
        <v>6267</v>
      </c>
      <c r="AZ532" s="3" t="s">
        <v>75</v>
      </c>
      <c r="BC532" s="3" t="s">
        <v>6268</v>
      </c>
      <c r="BD532" s="3" t="s">
        <v>6269</v>
      </c>
    </row>
    <row r="533" spans="1:56" ht="44.25" customHeight="1" x14ac:dyDescent="0.25">
      <c r="A533" s="7" t="s">
        <v>61</v>
      </c>
      <c r="B533" s="2" t="s">
        <v>6270</v>
      </c>
      <c r="C533" s="2" t="s">
        <v>6271</v>
      </c>
      <c r="D533" s="2" t="s">
        <v>6272</v>
      </c>
      <c r="E533" s="3" t="s">
        <v>6273</v>
      </c>
      <c r="F533" s="3" t="s">
        <v>61</v>
      </c>
      <c r="G533" s="3" t="s">
        <v>60</v>
      </c>
      <c r="H533" s="3" t="s">
        <v>61</v>
      </c>
      <c r="I533" s="3" t="s">
        <v>61</v>
      </c>
      <c r="J533" s="3" t="s">
        <v>62</v>
      </c>
      <c r="K533" s="2" t="s">
        <v>6274</v>
      </c>
      <c r="L533" s="2" t="s">
        <v>6275</v>
      </c>
      <c r="M533" s="3" t="s">
        <v>755</v>
      </c>
      <c r="N533" s="2" t="s">
        <v>306</v>
      </c>
      <c r="O533" s="3" t="s">
        <v>114</v>
      </c>
      <c r="P533" s="3" t="s">
        <v>235</v>
      </c>
      <c r="Q533" s="2" t="s">
        <v>6261</v>
      </c>
      <c r="R533" s="3" t="s">
        <v>68</v>
      </c>
      <c r="S533" s="4">
        <v>3</v>
      </c>
      <c r="T533" s="4">
        <v>3</v>
      </c>
      <c r="U533" s="5" t="s">
        <v>6276</v>
      </c>
      <c r="V533" s="5" t="s">
        <v>6276</v>
      </c>
      <c r="W533" s="5" t="s">
        <v>6277</v>
      </c>
      <c r="X533" s="5" t="s">
        <v>6277</v>
      </c>
      <c r="Y533" s="4">
        <v>1299</v>
      </c>
      <c r="Z533" s="4">
        <v>1142</v>
      </c>
      <c r="AA533" s="4">
        <v>1235</v>
      </c>
      <c r="AB533" s="4">
        <v>14</v>
      </c>
      <c r="AC533" s="4">
        <v>15</v>
      </c>
      <c r="AD533" s="4">
        <v>43</v>
      </c>
      <c r="AE533" s="4">
        <v>46</v>
      </c>
      <c r="AF533" s="4">
        <v>16</v>
      </c>
      <c r="AG533" s="4">
        <v>18</v>
      </c>
      <c r="AH533" s="4">
        <v>7</v>
      </c>
      <c r="AI533" s="4">
        <v>7</v>
      </c>
      <c r="AJ533" s="4">
        <v>18</v>
      </c>
      <c r="AK533" s="4">
        <v>19</v>
      </c>
      <c r="AL533" s="4">
        <v>12</v>
      </c>
      <c r="AM533" s="4">
        <v>13</v>
      </c>
      <c r="AN533" s="4">
        <v>0</v>
      </c>
      <c r="AO533" s="4">
        <v>0</v>
      </c>
      <c r="AP533" s="3" t="s">
        <v>61</v>
      </c>
      <c r="AQ533" s="3" t="s">
        <v>59</v>
      </c>
      <c r="AR533" s="6" t="str">
        <f>HYPERLINK("http://catalog.hathitrust.org/Record/000002457","HathiTrust Record")</f>
        <v>HathiTrust Record</v>
      </c>
      <c r="AS533" s="6" t="str">
        <f>HYPERLINK("https://creighton-primo.hosted.exlibrisgroup.com/primo-explore/search?tab=default_tab&amp;search_scope=EVERYTHING&amp;vid=01CRU&amp;lang=en_US&amp;offset=0&amp;query=any,contains,991000923999702656","Catalog Record")</f>
        <v>Catalog Record</v>
      </c>
      <c r="AT533" s="6" t="str">
        <f>HYPERLINK("http://www.worldcat.org/oclc/162581","WorldCat Record")</f>
        <v>WorldCat Record</v>
      </c>
      <c r="AU533" s="3" t="s">
        <v>6278</v>
      </c>
      <c r="AV533" s="3" t="s">
        <v>6279</v>
      </c>
      <c r="AW533" s="3" t="s">
        <v>6280</v>
      </c>
      <c r="AX533" s="3" t="s">
        <v>6280</v>
      </c>
      <c r="AY533" s="3" t="s">
        <v>6281</v>
      </c>
      <c r="AZ533" s="3" t="s">
        <v>75</v>
      </c>
      <c r="BB533" s="3" t="s">
        <v>6282</v>
      </c>
      <c r="BC533" s="3" t="s">
        <v>6283</v>
      </c>
      <c r="BD533" s="3" t="s">
        <v>6284</v>
      </c>
    </row>
    <row r="534" spans="1:56" ht="44.25" customHeight="1" x14ac:dyDescent="0.25">
      <c r="A534" s="7" t="s">
        <v>61</v>
      </c>
      <c r="B534" s="2" t="s">
        <v>6285</v>
      </c>
      <c r="C534" s="2" t="s">
        <v>6286</v>
      </c>
      <c r="D534" s="2" t="s">
        <v>6287</v>
      </c>
      <c r="E534" s="3" t="s">
        <v>2273</v>
      </c>
      <c r="F534" s="3" t="s">
        <v>61</v>
      </c>
      <c r="G534" s="3" t="s">
        <v>60</v>
      </c>
      <c r="H534" s="3" t="s">
        <v>61</v>
      </c>
      <c r="I534" s="3" t="s">
        <v>61</v>
      </c>
      <c r="J534" s="3" t="s">
        <v>62</v>
      </c>
      <c r="K534" s="2" t="s">
        <v>6288</v>
      </c>
      <c r="L534" s="2" t="s">
        <v>6289</v>
      </c>
      <c r="M534" s="3" t="s">
        <v>1624</v>
      </c>
      <c r="N534" s="2" t="s">
        <v>306</v>
      </c>
      <c r="O534" s="3" t="s">
        <v>114</v>
      </c>
      <c r="P534" s="3" t="s">
        <v>235</v>
      </c>
      <c r="Q534" s="2" t="s">
        <v>6261</v>
      </c>
      <c r="R534" s="3" t="s">
        <v>68</v>
      </c>
      <c r="S534" s="4">
        <v>1</v>
      </c>
      <c r="T534" s="4">
        <v>1</v>
      </c>
      <c r="U534" s="5" t="s">
        <v>6290</v>
      </c>
      <c r="V534" s="5" t="s">
        <v>6290</v>
      </c>
      <c r="W534" s="5" t="s">
        <v>6291</v>
      </c>
      <c r="X534" s="5" t="s">
        <v>6291</v>
      </c>
      <c r="Y534" s="4">
        <v>1643</v>
      </c>
      <c r="Z534" s="4">
        <v>1432</v>
      </c>
      <c r="AA534" s="4">
        <v>1585</v>
      </c>
      <c r="AB534" s="4">
        <v>13</v>
      </c>
      <c r="AC534" s="4">
        <v>15</v>
      </c>
      <c r="AD534" s="4">
        <v>53</v>
      </c>
      <c r="AE534" s="4">
        <v>57</v>
      </c>
      <c r="AF534" s="4">
        <v>23</v>
      </c>
      <c r="AG534" s="4">
        <v>23</v>
      </c>
      <c r="AH534" s="4">
        <v>10</v>
      </c>
      <c r="AI534" s="4">
        <v>10</v>
      </c>
      <c r="AJ534" s="4">
        <v>22</v>
      </c>
      <c r="AK534" s="4">
        <v>24</v>
      </c>
      <c r="AL534" s="4">
        <v>10</v>
      </c>
      <c r="AM534" s="4">
        <v>12</v>
      </c>
      <c r="AN534" s="4">
        <v>0</v>
      </c>
      <c r="AO534" s="4">
        <v>0</v>
      </c>
      <c r="AP534" s="3" t="s">
        <v>61</v>
      </c>
      <c r="AQ534" s="3" t="s">
        <v>59</v>
      </c>
      <c r="AR534" s="6" t="str">
        <f>HYPERLINK("http://catalog.hathitrust.org/Record/001595573","HathiTrust Record")</f>
        <v>HathiTrust Record</v>
      </c>
      <c r="AS534" s="6" t="str">
        <f>HYPERLINK("https://creighton-primo.hosted.exlibrisgroup.com/primo-explore/search?tab=default_tab&amp;search_scope=EVERYTHING&amp;vid=01CRU&amp;lang=en_US&amp;offset=0&amp;query=any,contains,991001963159702656","Catalog Record")</f>
        <v>Catalog Record</v>
      </c>
      <c r="AT534" s="6" t="str">
        <f>HYPERLINK("http://www.worldcat.org/oclc/253666","WorldCat Record")</f>
        <v>WorldCat Record</v>
      </c>
      <c r="AU534" s="3" t="s">
        <v>6292</v>
      </c>
      <c r="AV534" s="3" t="s">
        <v>6293</v>
      </c>
      <c r="AW534" s="3" t="s">
        <v>6294</v>
      </c>
      <c r="AX534" s="3" t="s">
        <v>6294</v>
      </c>
      <c r="AY534" s="3" t="s">
        <v>6295</v>
      </c>
      <c r="AZ534" s="3" t="s">
        <v>75</v>
      </c>
      <c r="BC534" s="3" t="s">
        <v>6296</v>
      </c>
      <c r="BD534" s="3" t="s">
        <v>6297</v>
      </c>
    </row>
    <row r="535" spans="1:56" ht="44.25" customHeight="1" x14ac:dyDescent="0.25">
      <c r="A535" s="7" t="s">
        <v>61</v>
      </c>
      <c r="B535" s="2" t="s">
        <v>6298</v>
      </c>
      <c r="C535" s="2" t="s">
        <v>6299</v>
      </c>
      <c r="D535" s="2" t="s">
        <v>6300</v>
      </c>
      <c r="E535" s="3" t="s">
        <v>6301</v>
      </c>
      <c r="F535" s="3" t="s">
        <v>61</v>
      </c>
      <c r="G535" s="3" t="s">
        <v>60</v>
      </c>
      <c r="H535" s="3" t="s">
        <v>61</v>
      </c>
      <c r="I535" s="3" t="s">
        <v>61</v>
      </c>
      <c r="J535" s="3" t="s">
        <v>62</v>
      </c>
      <c r="K535" s="2" t="s">
        <v>6302</v>
      </c>
      <c r="L535" s="2" t="s">
        <v>6289</v>
      </c>
      <c r="M535" s="3" t="s">
        <v>1624</v>
      </c>
      <c r="N535" s="2" t="s">
        <v>306</v>
      </c>
      <c r="O535" s="3" t="s">
        <v>114</v>
      </c>
      <c r="P535" s="3" t="s">
        <v>235</v>
      </c>
      <c r="Q535" s="2" t="s">
        <v>6261</v>
      </c>
      <c r="R535" s="3" t="s">
        <v>68</v>
      </c>
      <c r="S535" s="4">
        <v>5</v>
      </c>
      <c r="T535" s="4">
        <v>5</v>
      </c>
      <c r="U535" s="5" t="s">
        <v>6303</v>
      </c>
      <c r="V535" s="5" t="s">
        <v>6303</v>
      </c>
      <c r="W535" s="5" t="s">
        <v>6263</v>
      </c>
      <c r="X535" s="5" t="s">
        <v>6263</v>
      </c>
      <c r="Y535" s="4">
        <v>1607</v>
      </c>
      <c r="Z535" s="4">
        <v>1403</v>
      </c>
      <c r="AA535" s="4">
        <v>1592</v>
      </c>
      <c r="AB535" s="4">
        <v>10</v>
      </c>
      <c r="AC535" s="4">
        <v>12</v>
      </c>
      <c r="AD535" s="4">
        <v>51</v>
      </c>
      <c r="AE535" s="4">
        <v>56</v>
      </c>
      <c r="AF535" s="4">
        <v>22</v>
      </c>
      <c r="AG535" s="4">
        <v>24</v>
      </c>
      <c r="AH535" s="4">
        <v>9</v>
      </c>
      <c r="AI535" s="4">
        <v>10</v>
      </c>
      <c r="AJ535" s="4">
        <v>23</v>
      </c>
      <c r="AK535" s="4">
        <v>24</v>
      </c>
      <c r="AL535" s="4">
        <v>9</v>
      </c>
      <c r="AM535" s="4">
        <v>11</v>
      </c>
      <c r="AN535" s="4">
        <v>0</v>
      </c>
      <c r="AO535" s="4">
        <v>0</v>
      </c>
      <c r="AP535" s="3" t="s">
        <v>61</v>
      </c>
      <c r="AQ535" s="3" t="s">
        <v>59</v>
      </c>
      <c r="AR535" s="6" t="str">
        <f>HYPERLINK("http://catalog.hathitrust.org/Record/000555164","HathiTrust Record")</f>
        <v>HathiTrust Record</v>
      </c>
      <c r="AS535" s="6" t="str">
        <f>HYPERLINK("https://creighton-primo.hosted.exlibrisgroup.com/primo-explore/search?tab=default_tab&amp;search_scope=EVERYTHING&amp;vid=01CRU&amp;lang=en_US&amp;offset=0&amp;query=any,contains,991002426649702656","Catalog Record")</f>
        <v>Catalog Record</v>
      </c>
      <c r="AT535" s="6" t="str">
        <f>HYPERLINK("http://www.worldcat.org/oclc/345062","WorldCat Record")</f>
        <v>WorldCat Record</v>
      </c>
      <c r="AU535" s="3" t="s">
        <v>6304</v>
      </c>
      <c r="AV535" s="3" t="s">
        <v>6305</v>
      </c>
      <c r="AW535" s="3" t="s">
        <v>6306</v>
      </c>
      <c r="AX535" s="3" t="s">
        <v>6306</v>
      </c>
      <c r="AY535" s="3" t="s">
        <v>6307</v>
      </c>
      <c r="AZ535" s="3" t="s">
        <v>75</v>
      </c>
      <c r="BC535" s="3" t="s">
        <v>6308</v>
      </c>
      <c r="BD535" s="3" t="s">
        <v>6309</v>
      </c>
    </row>
    <row r="536" spans="1:56" ht="44.25" customHeight="1" x14ac:dyDescent="0.25">
      <c r="A536" s="7" t="s">
        <v>61</v>
      </c>
      <c r="B536" s="2" t="s">
        <v>6310</v>
      </c>
      <c r="C536" s="2" t="s">
        <v>6311</v>
      </c>
      <c r="D536" s="2" t="s">
        <v>6312</v>
      </c>
      <c r="E536" s="3" t="s">
        <v>6313</v>
      </c>
      <c r="F536" s="3" t="s">
        <v>61</v>
      </c>
      <c r="G536" s="3" t="s">
        <v>60</v>
      </c>
      <c r="H536" s="3" t="s">
        <v>61</v>
      </c>
      <c r="I536" s="3" t="s">
        <v>61</v>
      </c>
      <c r="J536" s="3" t="s">
        <v>62</v>
      </c>
      <c r="K536" s="2" t="s">
        <v>6314</v>
      </c>
      <c r="L536" s="2" t="s">
        <v>6315</v>
      </c>
      <c r="M536" s="3" t="s">
        <v>1060</v>
      </c>
      <c r="N536" s="2" t="s">
        <v>306</v>
      </c>
      <c r="O536" s="3" t="s">
        <v>114</v>
      </c>
      <c r="P536" s="3" t="s">
        <v>235</v>
      </c>
      <c r="Q536" s="2" t="s">
        <v>6261</v>
      </c>
      <c r="R536" s="3" t="s">
        <v>68</v>
      </c>
      <c r="S536" s="4">
        <v>3</v>
      </c>
      <c r="T536" s="4">
        <v>3</v>
      </c>
      <c r="U536" s="5" t="s">
        <v>2943</v>
      </c>
      <c r="V536" s="5" t="s">
        <v>2943</v>
      </c>
      <c r="W536" s="5" t="s">
        <v>6263</v>
      </c>
      <c r="X536" s="5" t="s">
        <v>6263</v>
      </c>
      <c r="Y536" s="4">
        <v>1410</v>
      </c>
      <c r="Z536" s="4">
        <v>1253</v>
      </c>
      <c r="AA536" s="4">
        <v>1407</v>
      </c>
      <c r="AB536" s="4">
        <v>13</v>
      </c>
      <c r="AC536" s="4">
        <v>16</v>
      </c>
      <c r="AD536" s="4">
        <v>52</v>
      </c>
      <c r="AE536" s="4">
        <v>55</v>
      </c>
      <c r="AF536" s="4">
        <v>20</v>
      </c>
      <c r="AG536" s="4">
        <v>20</v>
      </c>
      <c r="AH536" s="4">
        <v>9</v>
      </c>
      <c r="AI536" s="4">
        <v>9</v>
      </c>
      <c r="AJ536" s="4">
        <v>24</v>
      </c>
      <c r="AK536" s="4">
        <v>24</v>
      </c>
      <c r="AL536" s="4">
        <v>11</v>
      </c>
      <c r="AM536" s="4">
        <v>14</v>
      </c>
      <c r="AN536" s="4">
        <v>0</v>
      </c>
      <c r="AO536" s="4">
        <v>0</v>
      </c>
      <c r="AP536" s="3" t="s">
        <v>61</v>
      </c>
      <c r="AQ536" s="3" t="s">
        <v>59</v>
      </c>
      <c r="AR536" s="6" t="str">
        <f>HYPERLINK("http://catalog.hathitrust.org/Record/000672957","HathiTrust Record")</f>
        <v>HathiTrust Record</v>
      </c>
      <c r="AS536" s="6" t="str">
        <f>HYPERLINK("https://creighton-primo.hosted.exlibrisgroup.com/primo-explore/search?tab=default_tab&amp;search_scope=EVERYTHING&amp;vid=01CRU&amp;lang=en_US&amp;offset=0&amp;query=any,contains,991001104549702656","Catalog Record")</f>
        <v>Catalog Record</v>
      </c>
      <c r="AT536" s="6" t="str">
        <f>HYPERLINK("http://www.worldcat.org/oclc/183732","WorldCat Record")</f>
        <v>WorldCat Record</v>
      </c>
      <c r="AU536" s="3" t="s">
        <v>6316</v>
      </c>
      <c r="AV536" s="3" t="s">
        <v>6317</v>
      </c>
      <c r="AW536" s="3" t="s">
        <v>6318</v>
      </c>
      <c r="AX536" s="3" t="s">
        <v>6318</v>
      </c>
      <c r="AY536" s="3" t="s">
        <v>6319</v>
      </c>
      <c r="AZ536" s="3" t="s">
        <v>75</v>
      </c>
      <c r="BC536" s="3" t="s">
        <v>6320</v>
      </c>
      <c r="BD536" s="3" t="s">
        <v>6321</v>
      </c>
    </row>
    <row r="537" spans="1:56" ht="44.25" customHeight="1" x14ac:dyDescent="0.25">
      <c r="A537" s="7" t="s">
        <v>61</v>
      </c>
      <c r="B537" s="2" t="s">
        <v>6322</v>
      </c>
      <c r="C537" s="2" t="s">
        <v>6323</v>
      </c>
      <c r="D537" s="2" t="s">
        <v>6324</v>
      </c>
      <c r="E537" s="3" t="s">
        <v>6325</v>
      </c>
      <c r="F537" s="3" t="s">
        <v>61</v>
      </c>
      <c r="G537" s="3" t="s">
        <v>60</v>
      </c>
      <c r="H537" s="3" t="s">
        <v>61</v>
      </c>
      <c r="I537" s="3" t="s">
        <v>61</v>
      </c>
      <c r="J537" s="3" t="s">
        <v>62</v>
      </c>
      <c r="K537" s="2" t="s">
        <v>6326</v>
      </c>
      <c r="L537" s="2" t="s">
        <v>6327</v>
      </c>
      <c r="M537" s="3" t="s">
        <v>1306</v>
      </c>
      <c r="O537" s="3" t="s">
        <v>114</v>
      </c>
      <c r="P537" s="3" t="s">
        <v>235</v>
      </c>
      <c r="Q537" s="2" t="s">
        <v>6261</v>
      </c>
      <c r="R537" s="3" t="s">
        <v>68</v>
      </c>
      <c r="S537" s="4">
        <v>3</v>
      </c>
      <c r="T537" s="4">
        <v>3</v>
      </c>
      <c r="U537" s="5" t="s">
        <v>2943</v>
      </c>
      <c r="V537" s="5" t="s">
        <v>2943</v>
      </c>
      <c r="W537" s="5" t="s">
        <v>6263</v>
      </c>
      <c r="X537" s="5" t="s">
        <v>6263</v>
      </c>
      <c r="Y537" s="4">
        <v>1350</v>
      </c>
      <c r="Z537" s="4">
        <v>1196</v>
      </c>
      <c r="AA537" s="4">
        <v>1318</v>
      </c>
      <c r="AB537" s="4">
        <v>13</v>
      </c>
      <c r="AC537" s="4">
        <v>13</v>
      </c>
      <c r="AD537" s="4">
        <v>45</v>
      </c>
      <c r="AE537" s="4">
        <v>48</v>
      </c>
      <c r="AF537" s="4">
        <v>16</v>
      </c>
      <c r="AG537" s="4">
        <v>17</v>
      </c>
      <c r="AH537" s="4">
        <v>7</v>
      </c>
      <c r="AI537" s="4">
        <v>8</v>
      </c>
      <c r="AJ537" s="4">
        <v>21</v>
      </c>
      <c r="AK537" s="4">
        <v>22</v>
      </c>
      <c r="AL537" s="4">
        <v>12</v>
      </c>
      <c r="AM537" s="4">
        <v>12</v>
      </c>
      <c r="AN537" s="4">
        <v>0</v>
      </c>
      <c r="AO537" s="4">
        <v>0</v>
      </c>
      <c r="AP537" s="3" t="s">
        <v>61</v>
      </c>
      <c r="AQ537" s="3" t="s">
        <v>59</v>
      </c>
      <c r="AR537" s="6" t="str">
        <f>HYPERLINK("http://catalog.hathitrust.org/Record/000554845","HathiTrust Record")</f>
        <v>HathiTrust Record</v>
      </c>
      <c r="AS537" s="6" t="str">
        <f>HYPERLINK("https://creighton-primo.hosted.exlibrisgroup.com/primo-explore/search?tab=default_tab&amp;search_scope=EVERYTHING&amp;vid=01CRU&amp;lang=en_US&amp;offset=0&amp;query=any,contains,991001963219702656","Catalog Record")</f>
        <v>Catalog Record</v>
      </c>
      <c r="AT537" s="6" t="str">
        <f>HYPERLINK("http://www.worldcat.org/oclc/253670","WorldCat Record")</f>
        <v>WorldCat Record</v>
      </c>
      <c r="AU537" s="3" t="s">
        <v>6328</v>
      </c>
      <c r="AV537" s="3" t="s">
        <v>6329</v>
      </c>
      <c r="AW537" s="3" t="s">
        <v>6330</v>
      </c>
      <c r="AX537" s="3" t="s">
        <v>6330</v>
      </c>
      <c r="AY537" s="3" t="s">
        <v>6331</v>
      </c>
      <c r="AZ537" s="3" t="s">
        <v>75</v>
      </c>
      <c r="BC537" s="3" t="s">
        <v>6332</v>
      </c>
      <c r="BD537" s="3" t="s">
        <v>6333</v>
      </c>
    </row>
    <row r="538" spans="1:56" ht="44.25" customHeight="1" x14ac:dyDescent="0.25">
      <c r="A538" s="7" t="s">
        <v>61</v>
      </c>
      <c r="B538" s="2" t="s">
        <v>6334</v>
      </c>
      <c r="C538" s="2" t="s">
        <v>6335</v>
      </c>
      <c r="D538" s="2" t="s">
        <v>6336</v>
      </c>
      <c r="F538" s="3" t="s">
        <v>61</v>
      </c>
      <c r="G538" s="3" t="s">
        <v>60</v>
      </c>
      <c r="H538" s="3" t="s">
        <v>61</v>
      </c>
      <c r="I538" s="3" t="s">
        <v>61</v>
      </c>
      <c r="J538" s="3" t="s">
        <v>62</v>
      </c>
      <c r="K538" s="2" t="s">
        <v>6337</v>
      </c>
      <c r="L538" s="2" t="s">
        <v>6338</v>
      </c>
      <c r="M538" s="3" t="s">
        <v>3279</v>
      </c>
      <c r="O538" s="3" t="s">
        <v>114</v>
      </c>
      <c r="P538" s="3" t="s">
        <v>235</v>
      </c>
      <c r="Q538" s="2" t="s">
        <v>4771</v>
      </c>
      <c r="R538" s="3" t="s">
        <v>68</v>
      </c>
      <c r="S538" s="4">
        <v>2</v>
      </c>
      <c r="T538" s="4">
        <v>2</v>
      </c>
      <c r="U538" s="5" t="s">
        <v>6339</v>
      </c>
      <c r="V538" s="5" t="s">
        <v>6339</v>
      </c>
      <c r="W538" s="5" t="s">
        <v>5535</v>
      </c>
      <c r="X538" s="5" t="s">
        <v>5535</v>
      </c>
      <c r="Y538" s="4">
        <v>78</v>
      </c>
      <c r="Z538" s="4">
        <v>70</v>
      </c>
      <c r="AA538" s="4">
        <v>264</v>
      </c>
      <c r="AB538" s="4">
        <v>1</v>
      </c>
      <c r="AC538" s="4">
        <v>2</v>
      </c>
      <c r="AD538" s="4">
        <v>2</v>
      </c>
      <c r="AE538" s="4">
        <v>10</v>
      </c>
      <c r="AF538" s="4">
        <v>0</v>
      </c>
      <c r="AG538" s="4">
        <v>3</v>
      </c>
      <c r="AH538" s="4">
        <v>1</v>
      </c>
      <c r="AI538" s="4">
        <v>4</v>
      </c>
      <c r="AJ538" s="4">
        <v>1</v>
      </c>
      <c r="AK538" s="4">
        <v>5</v>
      </c>
      <c r="AL538" s="4">
        <v>0</v>
      </c>
      <c r="AM538" s="4">
        <v>1</v>
      </c>
      <c r="AN538" s="4">
        <v>0</v>
      </c>
      <c r="AO538" s="4">
        <v>0</v>
      </c>
      <c r="AP538" s="3" t="s">
        <v>61</v>
      </c>
      <c r="AQ538" s="3" t="s">
        <v>61</v>
      </c>
      <c r="AS538" s="6" t="str">
        <f>HYPERLINK("https://creighton-primo.hosted.exlibrisgroup.com/primo-explore/search?tab=default_tab&amp;search_scope=EVERYTHING&amp;vid=01CRU&amp;lang=en_US&amp;offset=0&amp;query=any,contains,991002843329702656","Catalog Record")</f>
        <v>Catalog Record</v>
      </c>
      <c r="AT538" s="6" t="str">
        <f>HYPERLINK("http://www.worldcat.org/oclc/483483","WorldCat Record")</f>
        <v>WorldCat Record</v>
      </c>
      <c r="AU538" s="3" t="s">
        <v>6340</v>
      </c>
      <c r="AV538" s="3" t="s">
        <v>6341</v>
      </c>
      <c r="AW538" s="3" t="s">
        <v>6342</v>
      </c>
      <c r="AX538" s="3" t="s">
        <v>6342</v>
      </c>
      <c r="AY538" s="3" t="s">
        <v>6343</v>
      </c>
      <c r="AZ538" s="3" t="s">
        <v>75</v>
      </c>
      <c r="BB538" s="3" t="s">
        <v>6344</v>
      </c>
      <c r="BC538" s="3" t="s">
        <v>6345</v>
      </c>
      <c r="BD538" s="3" t="s">
        <v>6346</v>
      </c>
    </row>
    <row r="539" spans="1:56" ht="44.25" customHeight="1" x14ac:dyDescent="0.25">
      <c r="A539" s="7" t="s">
        <v>61</v>
      </c>
      <c r="B539" s="2" t="s">
        <v>6347</v>
      </c>
      <c r="C539" s="2" t="s">
        <v>6348</v>
      </c>
      <c r="D539" s="2" t="s">
        <v>6349</v>
      </c>
      <c r="F539" s="3" t="s">
        <v>61</v>
      </c>
      <c r="G539" s="3" t="s">
        <v>60</v>
      </c>
      <c r="H539" s="3" t="s">
        <v>61</v>
      </c>
      <c r="I539" s="3" t="s">
        <v>61</v>
      </c>
      <c r="J539" s="3" t="s">
        <v>62</v>
      </c>
      <c r="K539" s="2" t="s">
        <v>6350</v>
      </c>
      <c r="L539" s="2" t="s">
        <v>6351</v>
      </c>
      <c r="M539" s="3" t="s">
        <v>3279</v>
      </c>
      <c r="N539" s="2" t="s">
        <v>6352</v>
      </c>
      <c r="O539" s="3" t="s">
        <v>114</v>
      </c>
      <c r="P539" s="3" t="s">
        <v>235</v>
      </c>
      <c r="Q539" s="2" t="s">
        <v>4771</v>
      </c>
      <c r="R539" s="3" t="s">
        <v>68</v>
      </c>
      <c r="S539" s="4">
        <v>1</v>
      </c>
      <c r="T539" s="4">
        <v>1</v>
      </c>
      <c r="U539" s="5" t="s">
        <v>6353</v>
      </c>
      <c r="V539" s="5" t="s">
        <v>6353</v>
      </c>
      <c r="W539" s="5" t="s">
        <v>5535</v>
      </c>
      <c r="X539" s="5" t="s">
        <v>5535</v>
      </c>
      <c r="Y539" s="4">
        <v>77</v>
      </c>
      <c r="Z539" s="4">
        <v>70</v>
      </c>
      <c r="AA539" s="4">
        <v>142</v>
      </c>
      <c r="AB539" s="4">
        <v>1</v>
      </c>
      <c r="AC539" s="4">
        <v>2</v>
      </c>
      <c r="AD539" s="4">
        <v>1</v>
      </c>
      <c r="AE539" s="4">
        <v>4</v>
      </c>
      <c r="AF539" s="4">
        <v>0</v>
      </c>
      <c r="AG539" s="4">
        <v>1</v>
      </c>
      <c r="AH539" s="4">
        <v>0</v>
      </c>
      <c r="AI539" s="4">
        <v>2</v>
      </c>
      <c r="AJ539" s="4">
        <v>1</v>
      </c>
      <c r="AK539" s="4">
        <v>2</v>
      </c>
      <c r="AL539" s="4">
        <v>0</v>
      </c>
      <c r="AM539" s="4">
        <v>1</v>
      </c>
      <c r="AN539" s="4">
        <v>0</v>
      </c>
      <c r="AO539" s="4">
        <v>0</v>
      </c>
      <c r="AP539" s="3" t="s">
        <v>61</v>
      </c>
      <c r="AQ539" s="3" t="s">
        <v>59</v>
      </c>
      <c r="AR539" s="6" t="str">
        <f>HYPERLINK("http://catalog.hathitrust.org/Record/000401110","HathiTrust Record")</f>
        <v>HathiTrust Record</v>
      </c>
      <c r="AS539" s="6" t="str">
        <f>HYPERLINK("https://creighton-primo.hosted.exlibrisgroup.com/primo-explore/search?tab=default_tab&amp;search_scope=EVERYTHING&amp;vid=01CRU&amp;lang=en_US&amp;offset=0&amp;query=any,contains,991002840589702656","Catalog Record")</f>
        <v>Catalog Record</v>
      </c>
      <c r="AT539" s="6" t="str">
        <f>HYPERLINK("http://www.worldcat.org/oclc/482144","WorldCat Record")</f>
        <v>WorldCat Record</v>
      </c>
      <c r="AU539" s="3" t="s">
        <v>6354</v>
      </c>
      <c r="AV539" s="3" t="s">
        <v>6355</v>
      </c>
      <c r="AW539" s="3" t="s">
        <v>6356</v>
      </c>
      <c r="AX539" s="3" t="s">
        <v>6356</v>
      </c>
      <c r="AY539" s="3" t="s">
        <v>6357</v>
      </c>
      <c r="AZ539" s="3" t="s">
        <v>75</v>
      </c>
      <c r="BB539" s="3" t="s">
        <v>6358</v>
      </c>
      <c r="BC539" s="3" t="s">
        <v>6359</v>
      </c>
      <c r="BD539" s="3" t="s">
        <v>6360</v>
      </c>
    </row>
    <row r="540" spans="1:56" ht="44.25" customHeight="1" x14ac:dyDescent="0.25">
      <c r="A540" s="7" t="s">
        <v>61</v>
      </c>
      <c r="B540" s="2" t="s">
        <v>6361</v>
      </c>
      <c r="C540" s="2" t="s">
        <v>6362</v>
      </c>
      <c r="D540" s="2" t="s">
        <v>6363</v>
      </c>
      <c r="F540" s="3" t="s">
        <v>61</v>
      </c>
      <c r="G540" s="3" t="s">
        <v>60</v>
      </c>
      <c r="H540" s="3" t="s">
        <v>61</v>
      </c>
      <c r="I540" s="3" t="s">
        <v>61</v>
      </c>
      <c r="J540" s="3" t="s">
        <v>62</v>
      </c>
      <c r="K540" s="2" t="s">
        <v>6364</v>
      </c>
      <c r="L540" s="2" t="s">
        <v>6365</v>
      </c>
      <c r="M540" s="3" t="s">
        <v>784</v>
      </c>
      <c r="N540" s="2" t="s">
        <v>6366</v>
      </c>
      <c r="O540" s="3" t="s">
        <v>114</v>
      </c>
      <c r="P540" s="3" t="s">
        <v>235</v>
      </c>
      <c r="R540" s="3" t="s">
        <v>68</v>
      </c>
      <c r="S540" s="4">
        <v>6</v>
      </c>
      <c r="T540" s="4">
        <v>6</v>
      </c>
      <c r="U540" s="5" t="s">
        <v>6367</v>
      </c>
      <c r="V540" s="5" t="s">
        <v>6367</v>
      </c>
      <c r="W540" s="5" t="s">
        <v>5535</v>
      </c>
      <c r="X540" s="5" t="s">
        <v>5535</v>
      </c>
      <c r="Y540" s="4">
        <v>627</v>
      </c>
      <c r="Z540" s="4">
        <v>592</v>
      </c>
      <c r="AA540" s="4">
        <v>687</v>
      </c>
      <c r="AB540" s="4">
        <v>4</v>
      </c>
      <c r="AC540" s="4">
        <v>6</v>
      </c>
      <c r="AD540" s="4">
        <v>12</v>
      </c>
      <c r="AE540" s="4">
        <v>15</v>
      </c>
      <c r="AF540" s="4">
        <v>1</v>
      </c>
      <c r="AG540" s="4">
        <v>3</v>
      </c>
      <c r="AH540" s="4">
        <v>3</v>
      </c>
      <c r="AI540" s="4">
        <v>3</v>
      </c>
      <c r="AJ540" s="4">
        <v>7</v>
      </c>
      <c r="AK540" s="4">
        <v>7</v>
      </c>
      <c r="AL540" s="4">
        <v>3</v>
      </c>
      <c r="AM540" s="4">
        <v>4</v>
      </c>
      <c r="AN540" s="4">
        <v>0</v>
      </c>
      <c r="AO540" s="4">
        <v>0</v>
      </c>
      <c r="AP540" s="3" t="s">
        <v>61</v>
      </c>
      <c r="AQ540" s="3" t="s">
        <v>59</v>
      </c>
      <c r="AR540" s="6" t="str">
        <f>HYPERLINK("http://catalog.hathitrust.org/Record/000401029","HathiTrust Record")</f>
        <v>HathiTrust Record</v>
      </c>
      <c r="AS540" s="6" t="str">
        <f>HYPERLINK("https://creighton-primo.hosted.exlibrisgroup.com/primo-explore/search?tab=default_tab&amp;search_scope=EVERYTHING&amp;vid=01CRU&amp;lang=en_US&amp;offset=0&amp;query=any,contains,991002777579702656","Catalog Record")</f>
        <v>Catalog Record</v>
      </c>
      <c r="AT540" s="6" t="str">
        <f>HYPERLINK("http://www.worldcat.org/oclc/439186","WorldCat Record")</f>
        <v>WorldCat Record</v>
      </c>
      <c r="AU540" s="3" t="s">
        <v>6368</v>
      </c>
      <c r="AV540" s="3" t="s">
        <v>6369</v>
      </c>
      <c r="AW540" s="3" t="s">
        <v>6370</v>
      </c>
      <c r="AX540" s="3" t="s">
        <v>6370</v>
      </c>
      <c r="AY540" s="3" t="s">
        <v>6371</v>
      </c>
      <c r="AZ540" s="3" t="s">
        <v>75</v>
      </c>
      <c r="BC540" s="3" t="s">
        <v>6372</v>
      </c>
      <c r="BD540" s="3" t="s">
        <v>6373</v>
      </c>
    </row>
    <row r="541" spans="1:56" ht="44.25" customHeight="1" x14ac:dyDescent="0.25">
      <c r="A541" s="7" t="s">
        <v>61</v>
      </c>
      <c r="B541" s="2" t="s">
        <v>6374</v>
      </c>
      <c r="C541" s="2" t="s">
        <v>6375</v>
      </c>
      <c r="D541" s="2" t="s">
        <v>6376</v>
      </c>
      <c r="F541" s="3" t="s">
        <v>61</v>
      </c>
      <c r="G541" s="3" t="s">
        <v>60</v>
      </c>
      <c r="H541" s="3" t="s">
        <v>61</v>
      </c>
      <c r="I541" s="3" t="s">
        <v>61</v>
      </c>
      <c r="J541" s="3" t="s">
        <v>62</v>
      </c>
      <c r="K541" s="2" t="s">
        <v>6377</v>
      </c>
      <c r="L541" s="2" t="s">
        <v>6378</v>
      </c>
      <c r="M541" s="3" t="s">
        <v>770</v>
      </c>
      <c r="O541" s="3" t="s">
        <v>114</v>
      </c>
      <c r="P541" s="3" t="s">
        <v>649</v>
      </c>
      <c r="R541" s="3" t="s">
        <v>68</v>
      </c>
      <c r="S541" s="4">
        <v>3</v>
      </c>
      <c r="T541" s="4">
        <v>3</v>
      </c>
      <c r="U541" s="5" t="s">
        <v>6379</v>
      </c>
      <c r="V541" s="5" t="s">
        <v>6379</v>
      </c>
      <c r="W541" s="5" t="s">
        <v>5535</v>
      </c>
      <c r="X541" s="5" t="s">
        <v>5535</v>
      </c>
      <c r="Y541" s="4">
        <v>98</v>
      </c>
      <c r="Z541" s="4">
        <v>85</v>
      </c>
      <c r="AA541" s="4">
        <v>636</v>
      </c>
      <c r="AB541" s="4">
        <v>1</v>
      </c>
      <c r="AC541" s="4">
        <v>4</v>
      </c>
      <c r="AD541" s="4">
        <v>3</v>
      </c>
      <c r="AE541" s="4">
        <v>16</v>
      </c>
      <c r="AF541" s="4">
        <v>2</v>
      </c>
      <c r="AG541" s="4">
        <v>6</v>
      </c>
      <c r="AH541" s="4">
        <v>2</v>
      </c>
      <c r="AI541" s="4">
        <v>3</v>
      </c>
      <c r="AJ541" s="4">
        <v>1</v>
      </c>
      <c r="AK541" s="4">
        <v>9</v>
      </c>
      <c r="AL541" s="4">
        <v>0</v>
      </c>
      <c r="AM541" s="4">
        <v>3</v>
      </c>
      <c r="AN541" s="4">
        <v>0</v>
      </c>
      <c r="AO541" s="4">
        <v>0</v>
      </c>
      <c r="AP541" s="3" t="s">
        <v>61</v>
      </c>
      <c r="AQ541" s="3" t="s">
        <v>61</v>
      </c>
      <c r="AS541" s="6" t="str">
        <f>HYPERLINK("https://creighton-primo.hosted.exlibrisgroup.com/primo-explore/search?tab=default_tab&amp;search_scope=EVERYTHING&amp;vid=01CRU&amp;lang=en_US&amp;offset=0&amp;query=any,contains,991003693539702656","Catalog Record")</f>
        <v>Catalog Record</v>
      </c>
      <c r="AT541" s="6" t="str">
        <f>HYPERLINK("http://www.worldcat.org/oclc/1324331","WorldCat Record")</f>
        <v>WorldCat Record</v>
      </c>
      <c r="AU541" s="3" t="s">
        <v>6380</v>
      </c>
      <c r="AV541" s="3" t="s">
        <v>6381</v>
      </c>
      <c r="AW541" s="3" t="s">
        <v>6382</v>
      </c>
      <c r="AX541" s="3" t="s">
        <v>6382</v>
      </c>
      <c r="AY541" s="3" t="s">
        <v>6383</v>
      </c>
      <c r="AZ541" s="3" t="s">
        <v>75</v>
      </c>
      <c r="BB541" s="3" t="s">
        <v>6384</v>
      </c>
      <c r="BC541" s="3" t="s">
        <v>6385</v>
      </c>
      <c r="BD541" s="3" t="s">
        <v>6386</v>
      </c>
    </row>
    <row r="542" spans="1:56" ht="44.25" customHeight="1" x14ac:dyDescent="0.25">
      <c r="A542" s="7" t="s">
        <v>61</v>
      </c>
      <c r="B542" s="2" t="s">
        <v>6387</v>
      </c>
      <c r="C542" s="2" t="s">
        <v>6388</v>
      </c>
      <c r="D542" s="2" t="s">
        <v>6389</v>
      </c>
      <c r="F542" s="3" t="s">
        <v>61</v>
      </c>
      <c r="G542" s="3" t="s">
        <v>60</v>
      </c>
      <c r="H542" s="3" t="s">
        <v>61</v>
      </c>
      <c r="I542" s="3" t="s">
        <v>61</v>
      </c>
      <c r="J542" s="3" t="s">
        <v>62</v>
      </c>
      <c r="K542" s="2" t="s">
        <v>6390</v>
      </c>
      <c r="L542" s="2" t="s">
        <v>6391</v>
      </c>
      <c r="M542" s="3" t="s">
        <v>4337</v>
      </c>
      <c r="O542" s="3" t="s">
        <v>114</v>
      </c>
      <c r="P542" s="3" t="s">
        <v>67</v>
      </c>
      <c r="Q542" s="2" t="s">
        <v>6392</v>
      </c>
      <c r="R542" s="3" t="s">
        <v>68</v>
      </c>
      <c r="S542" s="4">
        <v>2</v>
      </c>
      <c r="T542" s="4">
        <v>2</v>
      </c>
      <c r="U542" s="5" t="s">
        <v>3232</v>
      </c>
      <c r="V542" s="5" t="s">
        <v>3232</v>
      </c>
      <c r="W542" s="5" t="s">
        <v>5535</v>
      </c>
      <c r="X542" s="5" t="s">
        <v>5535</v>
      </c>
      <c r="Y542" s="4">
        <v>492</v>
      </c>
      <c r="Z542" s="4">
        <v>393</v>
      </c>
      <c r="AA542" s="4">
        <v>633</v>
      </c>
      <c r="AB542" s="4">
        <v>4</v>
      </c>
      <c r="AC542" s="4">
        <v>7</v>
      </c>
      <c r="AD542" s="4">
        <v>26</v>
      </c>
      <c r="AE542" s="4">
        <v>40</v>
      </c>
      <c r="AF542" s="4">
        <v>7</v>
      </c>
      <c r="AG542" s="4">
        <v>16</v>
      </c>
      <c r="AH542" s="4">
        <v>9</v>
      </c>
      <c r="AI542" s="4">
        <v>10</v>
      </c>
      <c r="AJ542" s="4">
        <v>13</v>
      </c>
      <c r="AK542" s="4">
        <v>17</v>
      </c>
      <c r="AL542" s="4">
        <v>3</v>
      </c>
      <c r="AM542" s="4">
        <v>6</v>
      </c>
      <c r="AN542" s="4">
        <v>0</v>
      </c>
      <c r="AO542" s="4">
        <v>0</v>
      </c>
      <c r="AP542" s="3" t="s">
        <v>61</v>
      </c>
      <c r="AQ542" s="3" t="s">
        <v>59</v>
      </c>
      <c r="AR542" s="6" t="str">
        <f>HYPERLINK("http://catalog.hathitrust.org/Record/000400622","HathiTrust Record")</f>
        <v>HathiTrust Record</v>
      </c>
      <c r="AS542" s="6" t="str">
        <f>HYPERLINK("https://creighton-primo.hosted.exlibrisgroup.com/primo-explore/search?tab=default_tab&amp;search_scope=EVERYTHING&amp;vid=01CRU&amp;lang=en_US&amp;offset=0&amp;query=any,contains,991002677329702656","Catalog Record")</f>
        <v>Catalog Record</v>
      </c>
      <c r="AT542" s="6" t="str">
        <f>HYPERLINK("http://www.worldcat.org/oclc/397313","WorldCat Record")</f>
        <v>WorldCat Record</v>
      </c>
      <c r="AU542" s="3" t="s">
        <v>6393</v>
      </c>
      <c r="AV542" s="3" t="s">
        <v>6394</v>
      </c>
      <c r="AW542" s="3" t="s">
        <v>6395</v>
      </c>
      <c r="AX542" s="3" t="s">
        <v>6395</v>
      </c>
      <c r="AY542" s="3" t="s">
        <v>6396</v>
      </c>
      <c r="AZ542" s="3" t="s">
        <v>75</v>
      </c>
      <c r="BC542" s="3" t="s">
        <v>6397</v>
      </c>
      <c r="BD542" s="3" t="s">
        <v>6398</v>
      </c>
    </row>
    <row r="543" spans="1:56" ht="44.25" customHeight="1" x14ac:dyDescent="0.25">
      <c r="A543" s="7" t="s">
        <v>61</v>
      </c>
      <c r="B543" s="2" t="s">
        <v>6399</v>
      </c>
      <c r="C543" s="2" t="s">
        <v>6400</v>
      </c>
      <c r="D543" s="2" t="s">
        <v>6401</v>
      </c>
      <c r="F543" s="3" t="s">
        <v>61</v>
      </c>
      <c r="G543" s="3" t="s">
        <v>60</v>
      </c>
      <c r="H543" s="3" t="s">
        <v>61</v>
      </c>
      <c r="I543" s="3" t="s">
        <v>61</v>
      </c>
      <c r="J543" s="3" t="s">
        <v>62</v>
      </c>
      <c r="K543" s="2" t="s">
        <v>6402</v>
      </c>
      <c r="L543" s="2" t="s">
        <v>6403</v>
      </c>
      <c r="M543" s="3" t="s">
        <v>205</v>
      </c>
      <c r="O543" s="3" t="s">
        <v>114</v>
      </c>
      <c r="P543" s="3" t="s">
        <v>2432</v>
      </c>
      <c r="R543" s="3" t="s">
        <v>68</v>
      </c>
      <c r="S543" s="4">
        <v>6</v>
      </c>
      <c r="T543" s="4">
        <v>6</v>
      </c>
      <c r="U543" s="5" t="s">
        <v>4364</v>
      </c>
      <c r="V543" s="5" t="s">
        <v>4364</v>
      </c>
      <c r="W543" s="5" t="s">
        <v>2175</v>
      </c>
      <c r="X543" s="5" t="s">
        <v>2175</v>
      </c>
      <c r="Y543" s="4">
        <v>274</v>
      </c>
      <c r="Z543" s="4">
        <v>231</v>
      </c>
      <c r="AA543" s="4">
        <v>234</v>
      </c>
      <c r="AB543" s="4">
        <v>2</v>
      </c>
      <c r="AC543" s="4">
        <v>2</v>
      </c>
      <c r="AD543" s="4">
        <v>12</v>
      </c>
      <c r="AE543" s="4">
        <v>12</v>
      </c>
      <c r="AF543" s="4">
        <v>5</v>
      </c>
      <c r="AG543" s="4">
        <v>5</v>
      </c>
      <c r="AH543" s="4">
        <v>4</v>
      </c>
      <c r="AI543" s="4">
        <v>4</v>
      </c>
      <c r="AJ543" s="4">
        <v>5</v>
      </c>
      <c r="AK543" s="4">
        <v>5</v>
      </c>
      <c r="AL543" s="4">
        <v>1</v>
      </c>
      <c r="AM543" s="4">
        <v>1</v>
      </c>
      <c r="AN543" s="4">
        <v>0</v>
      </c>
      <c r="AO543" s="4">
        <v>0</v>
      </c>
      <c r="AP543" s="3" t="s">
        <v>61</v>
      </c>
      <c r="AQ543" s="3" t="s">
        <v>59</v>
      </c>
      <c r="AR543" s="6" t="str">
        <f>HYPERLINK("http://catalog.hathitrust.org/Record/000564244","HathiTrust Record")</f>
        <v>HathiTrust Record</v>
      </c>
      <c r="AS543" s="6" t="str">
        <f>HYPERLINK("https://creighton-primo.hosted.exlibrisgroup.com/primo-explore/search?tab=default_tab&amp;search_scope=EVERYTHING&amp;vid=01CRU&amp;lang=en_US&amp;offset=0&amp;query=any,contains,991000509149702656","Catalog Record")</f>
        <v>Catalog Record</v>
      </c>
      <c r="AT543" s="6" t="str">
        <f>HYPERLINK("http://www.worldcat.org/oclc/11234274","WorldCat Record")</f>
        <v>WorldCat Record</v>
      </c>
      <c r="AU543" s="3" t="s">
        <v>6404</v>
      </c>
      <c r="AV543" s="3" t="s">
        <v>6405</v>
      </c>
      <c r="AW543" s="3" t="s">
        <v>6406</v>
      </c>
      <c r="AX543" s="3" t="s">
        <v>6406</v>
      </c>
      <c r="AY543" s="3" t="s">
        <v>6407</v>
      </c>
      <c r="AZ543" s="3" t="s">
        <v>75</v>
      </c>
      <c r="BB543" s="3" t="s">
        <v>6408</v>
      </c>
      <c r="BC543" s="3" t="s">
        <v>6409</v>
      </c>
      <c r="BD543" s="3" t="s">
        <v>6410</v>
      </c>
    </row>
    <row r="544" spans="1:56" ht="44.25" customHeight="1" x14ac:dyDescent="0.25">
      <c r="A544" s="7" t="s">
        <v>61</v>
      </c>
      <c r="B544" s="2" t="s">
        <v>6411</v>
      </c>
      <c r="C544" s="2" t="s">
        <v>6412</v>
      </c>
      <c r="D544" s="2" t="s">
        <v>6413</v>
      </c>
      <c r="F544" s="3" t="s">
        <v>61</v>
      </c>
      <c r="G544" s="3" t="s">
        <v>60</v>
      </c>
      <c r="H544" s="3" t="s">
        <v>61</v>
      </c>
      <c r="I544" s="3" t="s">
        <v>61</v>
      </c>
      <c r="J544" s="3" t="s">
        <v>62</v>
      </c>
      <c r="K544" s="2" t="s">
        <v>6414</v>
      </c>
      <c r="L544" s="2" t="s">
        <v>2419</v>
      </c>
      <c r="M544" s="3" t="s">
        <v>1211</v>
      </c>
      <c r="O544" s="3" t="s">
        <v>114</v>
      </c>
      <c r="P544" s="3" t="s">
        <v>235</v>
      </c>
      <c r="R544" s="3" t="s">
        <v>68</v>
      </c>
      <c r="S544" s="4">
        <v>2</v>
      </c>
      <c r="T544" s="4">
        <v>2</v>
      </c>
      <c r="U544" s="5" t="s">
        <v>6415</v>
      </c>
      <c r="V544" s="5" t="s">
        <v>6415</v>
      </c>
      <c r="W544" s="5" t="s">
        <v>5535</v>
      </c>
      <c r="X544" s="5" t="s">
        <v>5535</v>
      </c>
      <c r="Y544" s="4">
        <v>164</v>
      </c>
      <c r="Z544" s="4">
        <v>130</v>
      </c>
      <c r="AA544" s="4">
        <v>486</v>
      </c>
      <c r="AB544" s="4">
        <v>2</v>
      </c>
      <c r="AC544" s="4">
        <v>4</v>
      </c>
      <c r="AD544" s="4">
        <v>5</v>
      </c>
      <c r="AE544" s="4">
        <v>28</v>
      </c>
      <c r="AF544" s="4">
        <v>1</v>
      </c>
      <c r="AG544" s="4">
        <v>11</v>
      </c>
      <c r="AH544" s="4">
        <v>1</v>
      </c>
      <c r="AI544" s="4">
        <v>8</v>
      </c>
      <c r="AJ544" s="4">
        <v>4</v>
      </c>
      <c r="AK544" s="4">
        <v>15</v>
      </c>
      <c r="AL544" s="4">
        <v>1</v>
      </c>
      <c r="AM544" s="4">
        <v>3</v>
      </c>
      <c r="AN544" s="4">
        <v>0</v>
      </c>
      <c r="AO544" s="4">
        <v>0</v>
      </c>
      <c r="AP544" s="3" t="s">
        <v>61</v>
      </c>
      <c r="AQ544" s="3" t="s">
        <v>59</v>
      </c>
      <c r="AR544" s="6" t="str">
        <f>HYPERLINK("http://catalog.hathitrust.org/Record/004398772","HathiTrust Record")</f>
        <v>HathiTrust Record</v>
      </c>
      <c r="AS544" s="6" t="str">
        <f>HYPERLINK("https://creighton-primo.hosted.exlibrisgroup.com/primo-explore/search?tab=default_tab&amp;search_scope=EVERYTHING&amp;vid=01CRU&amp;lang=en_US&amp;offset=0&amp;query=any,contains,991002900459702656","Catalog Record")</f>
        <v>Catalog Record</v>
      </c>
      <c r="AT544" s="6" t="str">
        <f>HYPERLINK("http://www.worldcat.org/oclc/516481","WorldCat Record")</f>
        <v>WorldCat Record</v>
      </c>
      <c r="AU544" s="3" t="s">
        <v>6416</v>
      </c>
      <c r="AV544" s="3" t="s">
        <v>6417</v>
      </c>
      <c r="AW544" s="3" t="s">
        <v>6418</v>
      </c>
      <c r="AX544" s="3" t="s">
        <v>6418</v>
      </c>
      <c r="AY544" s="3" t="s">
        <v>6419</v>
      </c>
      <c r="AZ544" s="3" t="s">
        <v>75</v>
      </c>
      <c r="BB544" s="3" t="s">
        <v>6420</v>
      </c>
      <c r="BC544" s="3" t="s">
        <v>6421</v>
      </c>
      <c r="BD544" s="3" t="s">
        <v>6422</v>
      </c>
    </row>
    <row r="545" spans="1:56" ht="44.25" customHeight="1" x14ac:dyDescent="0.25">
      <c r="A545" s="7" t="s">
        <v>61</v>
      </c>
      <c r="B545" s="2" t="s">
        <v>6423</v>
      </c>
      <c r="C545" s="2" t="s">
        <v>6424</v>
      </c>
      <c r="D545" s="2" t="s">
        <v>6425</v>
      </c>
      <c r="F545" s="3" t="s">
        <v>61</v>
      </c>
      <c r="G545" s="3" t="s">
        <v>60</v>
      </c>
      <c r="H545" s="3" t="s">
        <v>61</v>
      </c>
      <c r="I545" s="3" t="s">
        <v>61</v>
      </c>
      <c r="J545" s="3" t="s">
        <v>62</v>
      </c>
      <c r="K545" s="2" t="s">
        <v>6426</v>
      </c>
      <c r="L545" s="2" t="s">
        <v>6427</v>
      </c>
      <c r="M545" s="3" t="s">
        <v>1074</v>
      </c>
      <c r="O545" s="3" t="s">
        <v>114</v>
      </c>
      <c r="P545" s="3" t="s">
        <v>1521</v>
      </c>
      <c r="R545" s="3" t="s">
        <v>68</v>
      </c>
      <c r="S545" s="4">
        <v>7</v>
      </c>
      <c r="T545" s="4">
        <v>7</v>
      </c>
      <c r="U545" s="5" t="s">
        <v>4514</v>
      </c>
      <c r="V545" s="5" t="s">
        <v>4514</v>
      </c>
      <c r="W545" s="5" t="s">
        <v>5728</v>
      </c>
      <c r="X545" s="5" t="s">
        <v>5728</v>
      </c>
      <c r="Y545" s="4">
        <v>459</v>
      </c>
      <c r="Z545" s="4">
        <v>428</v>
      </c>
      <c r="AA545" s="4">
        <v>496</v>
      </c>
      <c r="AB545" s="4">
        <v>2</v>
      </c>
      <c r="AC545" s="4">
        <v>4</v>
      </c>
      <c r="AD545" s="4">
        <v>22</v>
      </c>
      <c r="AE545" s="4">
        <v>26</v>
      </c>
      <c r="AF545" s="4">
        <v>11</v>
      </c>
      <c r="AG545" s="4">
        <v>12</v>
      </c>
      <c r="AH545" s="4">
        <v>5</v>
      </c>
      <c r="AI545" s="4">
        <v>6</v>
      </c>
      <c r="AJ545" s="4">
        <v>13</v>
      </c>
      <c r="AK545" s="4">
        <v>14</v>
      </c>
      <c r="AL545" s="4">
        <v>1</v>
      </c>
      <c r="AM545" s="4">
        <v>3</v>
      </c>
      <c r="AN545" s="4">
        <v>0</v>
      </c>
      <c r="AO545" s="4">
        <v>0</v>
      </c>
      <c r="AP545" s="3" t="s">
        <v>61</v>
      </c>
      <c r="AQ545" s="3" t="s">
        <v>61</v>
      </c>
      <c r="AS545" s="6" t="str">
        <f>HYPERLINK("https://creighton-primo.hosted.exlibrisgroup.com/primo-explore/search?tab=default_tab&amp;search_scope=EVERYTHING&amp;vid=01CRU&amp;lang=en_US&amp;offset=0&amp;query=any,contains,991000614789702656","Catalog Record")</f>
        <v>Catalog Record</v>
      </c>
      <c r="AT545" s="6" t="str">
        <f>HYPERLINK("http://www.worldcat.org/oclc/11920259","WorldCat Record")</f>
        <v>WorldCat Record</v>
      </c>
      <c r="AU545" s="3" t="s">
        <v>6428</v>
      </c>
      <c r="AV545" s="3" t="s">
        <v>6429</v>
      </c>
      <c r="AW545" s="3" t="s">
        <v>6430</v>
      </c>
      <c r="AX545" s="3" t="s">
        <v>6430</v>
      </c>
      <c r="AY545" s="3" t="s">
        <v>6431</v>
      </c>
      <c r="AZ545" s="3" t="s">
        <v>75</v>
      </c>
      <c r="BB545" s="3" t="s">
        <v>6432</v>
      </c>
      <c r="BC545" s="3" t="s">
        <v>6433</v>
      </c>
      <c r="BD545" s="3" t="s">
        <v>6434</v>
      </c>
    </row>
    <row r="546" spans="1:56" ht="44.25" customHeight="1" x14ac:dyDescent="0.25">
      <c r="A546" s="7" t="s">
        <v>61</v>
      </c>
      <c r="B546" s="2" t="s">
        <v>6435</v>
      </c>
      <c r="C546" s="2" t="s">
        <v>6436</v>
      </c>
      <c r="D546" s="2" t="s">
        <v>6437</v>
      </c>
      <c r="F546" s="3" t="s">
        <v>61</v>
      </c>
      <c r="G546" s="3" t="s">
        <v>60</v>
      </c>
      <c r="H546" s="3" t="s">
        <v>61</v>
      </c>
      <c r="I546" s="3" t="s">
        <v>61</v>
      </c>
      <c r="J546" s="3" t="s">
        <v>62</v>
      </c>
      <c r="K546" s="2" t="s">
        <v>6438</v>
      </c>
      <c r="L546" s="2" t="s">
        <v>6439</v>
      </c>
      <c r="M546" s="3" t="s">
        <v>1465</v>
      </c>
      <c r="O546" s="3" t="s">
        <v>114</v>
      </c>
      <c r="P546" s="3" t="s">
        <v>6440</v>
      </c>
      <c r="Q546" s="2" t="s">
        <v>6441</v>
      </c>
      <c r="R546" s="3" t="s">
        <v>68</v>
      </c>
      <c r="S546" s="4">
        <v>4</v>
      </c>
      <c r="T546" s="4">
        <v>4</v>
      </c>
      <c r="U546" s="5" t="s">
        <v>6442</v>
      </c>
      <c r="V546" s="5" t="s">
        <v>6442</v>
      </c>
      <c r="W546" s="5" t="s">
        <v>6277</v>
      </c>
      <c r="X546" s="5" t="s">
        <v>6277</v>
      </c>
      <c r="Y546" s="4">
        <v>436</v>
      </c>
      <c r="Z546" s="4">
        <v>357</v>
      </c>
      <c r="AA546" s="4">
        <v>373</v>
      </c>
      <c r="AB546" s="4">
        <v>4</v>
      </c>
      <c r="AC546" s="4">
        <v>4</v>
      </c>
      <c r="AD546" s="4">
        <v>18</v>
      </c>
      <c r="AE546" s="4">
        <v>19</v>
      </c>
      <c r="AF546" s="4">
        <v>5</v>
      </c>
      <c r="AG546" s="4">
        <v>6</v>
      </c>
      <c r="AH546" s="4">
        <v>5</v>
      </c>
      <c r="AI546" s="4">
        <v>6</v>
      </c>
      <c r="AJ546" s="4">
        <v>9</v>
      </c>
      <c r="AK546" s="4">
        <v>9</v>
      </c>
      <c r="AL546" s="4">
        <v>2</v>
      </c>
      <c r="AM546" s="4">
        <v>2</v>
      </c>
      <c r="AN546" s="4">
        <v>1</v>
      </c>
      <c r="AO546" s="4">
        <v>1</v>
      </c>
      <c r="AP546" s="3" t="s">
        <v>61</v>
      </c>
      <c r="AQ546" s="3" t="s">
        <v>59</v>
      </c>
      <c r="AR546" s="6" t="str">
        <f>HYPERLINK("http://catalog.hathitrust.org/Record/002487748","HathiTrust Record")</f>
        <v>HathiTrust Record</v>
      </c>
      <c r="AS546" s="6" t="str">
        <f>HYPERLINK("https://creighton-primo.hosted.exlibrisgroup.com/primo-explore/search?tab=default_tab&amp;search_scope=EVERYTHING&amp;vid=01CRU&amp;lang=en_US&amp;offset=0&amp;query=any,contains,991001870779702656","Catalog Record")</f>
        <v>Catalog Record</v>
      </c>
      <c r="AT546" s="6" t="str">
        <f>HYPERLINK("http://www.worldcat.org/oclc/23584683","WorldCat Record")</f>
        <v>WorldCat Record</v>
      </c>
      <c r="AU546" s="3" t="s">
        <v>6443</v>
      </c>
      <c r="AV546" s="3" t="s">
        <v>6444</v>
      </c>
      <c r="AW546" s="3" t="s">
        <v>6445</v>
      </c>
      <c r="AX546" s="3" t="s">
        <v>6445</v>
      </c>
      <c r="AY546" s="3" t="s">
        <v>6446</v>
      </c>
      <c r="AZ546" s="3" t="s">
        <v>75</v>
      </c>
      <c r="BB546" s="3" t="s">
        <v>6447</v>
      </c>
      <c r="BC546" s="3" t="s">
        <v>6448</v>
      </c>
      <c r="BD546" s="3" t="s">
        <v>6449</v>
      </c>
    </row>
    <row r="547" spans="1:56" ht="44.25" customHeight="1" x14ac:dyDescent="0.25">
      <c r="A547" s="7" t="s">
        <v>61</v>
      </c>
      <c r="B547" s="2" t="s">
        <v>6450</v>
      </c>
      <c r="C547" s="2" t="s">
        <v>6451</v>
      </c>
      <c r="D547" s="2" t="s">
        <v>6452</v>
      </c>
      <c r="F547" s="3" t="s">
        <v>61</v>
      </c>
      <c r="G547" s="3" t="s">
        <v>60</v>
      </c>
      <c r="H547" s="3" t="s">
        <v>61</v>
      </c>
      <c r="I547" s="3" t="s">
        <v>61</v>
      </c>
      <c r="J547" s="3" t="s">
        <v>62</v>
      </c>
      <c r="K547" s="2" t="s">
        <v>6453</v>
      </c>
      <c r="L547" s="2" t="s">
        <v>6454</v>
      </c>
      <c r="M547" s="3" t="s">
        <v>5599</v>
      </c>
      <c r="O547" s="3" t="s">
        <v>114</v>
      </c>
      <c r="P547" s="3" t="s">
        <v>235</v>
      </c>
      <c r="R547" s="3" t="s">
        <v>68</v>
      </c>
      <c r="S547" s="4">
        <v>1</v>
      </c>
      <c r="T547" s="4">
        <v>1</v>
      </c>
      <c r="U547" s="5" t="s">
        <v>6455</v>
      </c>
      <c r="V547" s="5" t="s">
        <v>6455</v>
      </c>
      <c r="W547" s="5" t="s">
        <v>5535</v>
      </c>
      <c r="X547" s="5" t="s">
        <v>5535</v>
      </c>
      <c r="Y547" s="4">
        <v>368</v>
      </c>
      <c r="Z547" s="4">
        <v>337</v>
      </c>
      <c r="AA547" s="4">
        <v>431</v>
      </c>
      <c r="AB547" s="4">
        <v>4</v>
      </c>
      <c r="AC547" s="4">
        <v>4</v>
      </c>
      <c r="AD547" s="4">
        <v>20</v>
      </c>
      <c r="AE547" s="4">
        <v>22</v>
      </c>
      <c r="AF547" s="4">
        <v>6</v>
      </c>
      <c r="AG547" s="4">
        <v>7</v>
      </c>
      <c r="AH547" s="4">
        <v>3</v>
      </c>
      <c r="AI547" s="4">
        <v>4</v>
      </c>
      <c r="AJ547" s="4">
        <v>11</v>
      </c>
      <c r="AK547" s="4">
        <v>12</v>
      </c>
      <c r="AL547" s="4">
        <v>3</v>
      </c>
      <c r="AM547" s="4">
        <v>3</v>
      </c>
      <c r="AN547" s="4">
        <v>0</v>
      </c>
      <c r="AO547" s="4">
        <v>0</v>
      </c>
      <c r="AP547" s="3" t="s">
        <v>59</v>
      </c>
      <c r="AQ547" s="3" t="s">
        <v>61</v>
      </c>
      <c r="AR547" s="6" t="str">
        <f>HYPERLINK("http://catalog.hathitrust.org/Record/000444854","HathiTrust Record")</f>
        <v>HathiTrust Record</v>
      </c>
      <c r="AS547" s="6" t="str">
        <f>HYPERLINK("https://creighton-primo.hosted.exlibrisgroup.com/primo-explore/search?tab=default_tab&amp;search_scope=EVERYTHING&amp;vid=01CRU&amp;lang=en_US&amp;offset=0&amp;query=any,contains,991003607609702656","Catalog Record")</f>
        <v>Catalog Record</v>
      </c>
      <c r="AT547" s="6" t="str">
        <f>HYPERLINK("http://www.worldcat.org/oclc/1188583","WorldCat Record")</f>
        <v>WorldCat Record</v>
      </c>
      <c r="AU547" s="3" t="s">
        <v>6456</v>
      </c>
      <c r="AV547" s="3" t="s">
        <v>6457</v>
      </c>
      <c r="AW547" s="3" t="s">
        <v>6458</v>
      </c>
      <c r="AX547" s="3" t="s">
        <v>6458</v>
      </c>
      <c r="AY547" s="3" t="s">
        <v>6459</v>
      </c>
      <c r="AZ547" s="3" t="s">
        <v>75</v>
      </c>
      <c r="BC547" s="3" t="s">
        <v>6460</v>
      </c>
      <c r="BD547" s="3" t="s">
        <v>6461</v>
      </c>
    </row>
    <row r="548" spans="1:56" ht="44.25" customHeight="1" x14ac:dyDescent="0.25">
      <c r="A548" s="7" t="s">
        <v>61</v>
      </c>
      <c r="B548" s="2" t="s">
        <v>6462</v>
      </c>
      <c r="C548" s="2" t="s">
        <v>6463</v>
      </c>
      <c r="D548" s="2" t="s">
        <v>6464</v>
      </c>
      <c r="F548" s="3" t="s">
        <v>61</v>
      </c>
      <c r="G548" s="3" t="s">
        <v>60</v>
      </c>
      <c r="H548" s="3" t="s">
        <v>61</v>
      </c>
      <c r="I548" s="3" t="s">
        <v>61</v>
      </c>
      <c r="J548" s="3" t="s">
        <v>62</v>
      </c>
      <c r="K548" s="2" t="s">
        <v>6465</v>
      </c>
      <c r="L548" s="2" t="s">
        <v>6466</v>
      </c>
      <c r="M548" s="3" t="s">
        <v>884</v>
      </c>
      <c r="O548" s="3" t="s">
        <v>114</v>
      </c>
      <c r="P548" s="3" t="s">
        <v>6467</v>
      </c>
      <c r="R548" s="3" t="s">
        <v>68</v>
      </c>
      <c r="S548" s="4">
        <v>3</v>
      </c>
      <c r="T548" s="4">
        <v>3</v>
      </c>
      <c r="U548" s="5" t="s">
        <v>6468</v>
      </c>
      <c r="V548" s="5" t="s">
        <v>6468</v>
      </c>
      <c r="W548" s="5" t="s">
        <v>6469</v>
      </c>
      <c r="X548" s="5" t="s">
        <v>6469</v>
      </c>
      <c r="Y548" s="4">
        <v>585</v>
      </c>
      <c r="Z548" s="4">
        <v>529</v>
      </c>
      <c r="AA548" s="4">
        <v>784</v>
      </c>
      <c r="AB548" s="4">
        <v>3</v>
      </c>
      <c r="AC548" s="4">
        <v>5</v>
      </c>
      <c r="AD548" s="4">
        <v>28</v>
      </c>
      <c r="AE548" s="4">
        <v>34</v>
      </c>
      <c r="AF548" s="4">
        <v>11</v>
      </c>
      <c r="AG548" s="4">
        <v>15</v>
      </c>
      <c r="AH548" s="4">
        <v>7</v>
      </c>
      <c r="AI548" s="4">
        <v>8</v>
      </c>
      <c r="AJ548" s="4">
        <v>16</v>
      </c>
      <c r="AK548" s="4">
        <v>17</v>
      </c>
      <c r="AL548" s="4">
        <v>2</v>
      </c>
      <c r="AM548" s="4">
        <v>3</v>
      </c>
      <c r="AN548" s="4">
        <v>0</v>
      </c>
      <c r="AO548" s="4">
        <v>0</v>
      </c>
      <c r="AP548" s="3" t="s">
        <v>61</v>
      </c>
      <c r="AQ548" s="3" t="s">
        <v>59</v>
      </c>
      <c r="AR548" s="6" t="str">
        <f>HYPERLINK("http://catalog.hathitrust.org/Record/000441762","HathiTrust Record")</f>
        <v>HathiTrust Record</v>
      </c>
      <c r="AS548" s="6" t="str">
        <f>HYPERLINK("https://creighton-primo.hosted.exlibrisgroup.com/primo-explore/search?tab=default_tab&amp;search_scope=EVERYTHING&amp;vid=01CRU&amp;lang=en_US&amp;offset=0&amp;query=any,contains,991000775609702656","Catalog Record")</f>
        <v>Catalog Record</v>
      </c>
      <c r="AT548" s="6" t="str">
        <f>HYPERLINK("http://www.worldcat.org/oclc/132498","WorldCat Record")</f>
        <v>WorldCat Record</v>
      </c>
      <c r="AU548" s="3" t="s">
        <v>6470</v>
      </c>
      <c r="AV548" s="3" t="s">
        <v>6471</v>
      </c>
      <c r="AW548" s="3" t="s">
        <v>6472</v>
      </c>
      <c r="AX548" s="3" t="s">
        <v>6472</v>
      </c>
      <c r="AY548" s="3" t="s">
        <v>6473</v>
      </c>
      <c r="AZ548" s="3" t="s">
        <v>75</v>
      </c>
      <c r="BB548" s="3" t="s">
        <v>6474</v>
      </c>
      <c r="BC548" s="3" t="s">
        <v>6475</v>
      </c>
      <c r="BD548" s="3" t="s">
        <v>6476</v>
      </c>
    </row>
    <row r="549" spans="1:56" ht="44.25" customHeight="1" x14ac:dyDescent="0.25">
      <c r="A549" s="7" t="s">
        <v>61</v>
      </c>
      <c r="B549" s="2" t="s">
        <v>6477</v>
      </c>
      <c r="C549" s="2" t="s">
        <v>6478</v>
      </c>
      <c r="D549" s="2" t="s">
        <v>6479</v>
      </c>
      <c r="F549" s="3" t="s">
        <v>61</v>
      </c>
      <c r="G549" s="3" t="s">
        <v>60</v>
      </c>
      <c r="H549" s="3" t="s">
        <v>61</v>
      </c>
      <c r="I549" s="3" t="s">
        <v>61</v>
      </c>
      <c r="J549" s="3" t="s">
        <v>62</v>
      </c>
      <c r="K549" s="2" t="s">
        <v>6480</v>
      </c>
      <c r="L549" s="2" t="s">
        <v>6481</v>
      </c>
      <c r="M549" s="3" t="s">
        <v>770</v>
      </c>
      <c r="O549" s="3" t="s">
        <v>114</v>
      </c>
      <c r="P549" s="3" t="s">
        <v>235</v>
      </c>
      <c r="R549" s="3" t="s">
        <v>68</v>
      </c>
      <c r="S549" s="4">
        <v>1</v>
      </c>
      <c r="T549" s="4">
        <v>1</v>
      </c>
      <c r="U549" s="5" t="s">
        <v>6455</v>
      </c>
      <c r="V549" s="5" t="s">
        <v>6455</v>
      </c>
      <c r="W549" s="5" t="s">
        <v>6482</v>
      </c>
      <c r="X549" s="5" t="s">
        <v>6482</v>
      </c>
      <c r="Y549" s="4">
        <v>635</v>
      </c>
      <c r="Z549" s="4">
        <v>584</v>
      </c>
      <c r="AA549" s="4">
        <v>661</v>
      </c>
      <c r="AB549" s="4">
        <v>5</v>
      </c>
      <c r="AC549" s="4">
        <v>5</v>
      </c>
      <c r="AD549" s="4">
        <v>27</v>
      </c>
      <c r="AE549" s="4">
        <v>28</v>
      </c>
      <c r="AF549" s="4">
        <v>10</v>
      </c>
      <c r="AG549" s="4">
        <v>11</v>
      </c>
      <c r="AH549" s="4">
        <v>6</v>
      </c>
      <c r="AI549" s="4">
        <v>6</v>
      </c>
      <c r="AJ549" s="4">
        <v>13</v>
      </c>
      <c r="AK549" s="4">
        <v>14</v>
      </c>
      <c r="AL549" s="4">
        <v>4</v>
      </c>
      <c r="AM549" s="4">
        <v>4</v>
      </c>
      <c r="AN549" s="4">
        <v>1</v>
      </c>
      <c r="AO549" s="4">
        <v>1</v>
      </c>
      <c r="AP549" s="3" t="s">
        <v>61</v>
      </c>
      <c r="AQ549" s="3" t="s">
        <v>61</v>
      </c>
      <c r="AS549" s="6" t="str">
        <f>HYPERLINK("https://creighton-primo.hosted.exlibrisgroup.com/primo-explore/search?tab=default_tab&amp;search_scope=EVERYTHING&amp;vid=01CRU&amp;lang=en_US&amp;offset=0&amp;query=any,contains,991003525219702656","Catalog Record")</f>
        <v>Catalog Record</v>
      </c>
      <c r="AT549" s="6" t="str">
        <f>HYPERLINK("http://www.worldcat.org/oclc/1087451","WorldCat Record")</f>
        <v>WorldCat Record</v>
      </c>
      <c r="AU549" s="3" t="s">
        <v>6483</v>
      </c>
      <c r="AV549" s="3" t="s">
        <v>6484</v>
      </c>
      <c r="AW549" s="3" t="s">
        <v>6485</v>
      </c>
      <c r="AX549" s="3" t="s">
        <v>6485</v>
      </c>
      <c r="AY549" s="3" t="s">
        <v>6486</v>
      </c>
      <c r="AZ549" s="3" t="s">
        <v>75</v>
      </c>
      <c r="BB549" s="3" t="s">
        <v>6487</v>
      </c>
      <c r="BC549" s="3" t="s">
        <v>6488</v>
      </c>
      <c r="BD549" s="3" t="s">
        <v>6489</v>
      </c>
    </row>
    <row r="550" spans="1:56" ht="44.25" customHeight="1" x14ac:dyDescent="0.25">
      <c r="A550" s="7" t="s">
        <v>61</v>
      </c>
      <c r="B550" s="2" t="s">
        <v>6490</v>
      </c>
      <c r="C550" s="2" t="s">
        <v>6491</v>
      </c>
      <c r="D550" s="2" t="s">
        <v>6492</v>
      </c>
      <c r="F550" s="3" t="s">
        <v>61</v>
      </c>
      <c r="G550" s="3" t="s">
        <v>60</v>
      </c>
      <c r="H550" s="3" t="s">
        <v>61</v>
      </c>
      <c r="I550" s="3" t="s">
        <v>61</v>
      </c>
      <c r="J550" s="3" t="s">
        <v>62</v>
      </c>
      <c r="K550" s="2" t="s">
        <v>6493</v>
      </c>
      <c r="L550" s="2" t="s">
        <v>6494</v>
      </c>
      <c r="M550" s="3" t="s">
        <v>707</v>
      </c>
      <c r="N550" s="2" t="s">
        <v>634</v>
      </c>
      <c r="O550" s="3" t="s">
        <v>114</v>
      </c>
      <c r="P550" s="3" t="s">
        <v>1439</v>
      </c>
      <c r="R550" s="3" t="s">
        <v>68</v>
      </c>
      <c r="S550" s="4">
        <v>2</v>
      </c>
      <c r="T550" s="4">
        <v>2</v>
      </c>
      <c r="U550" s="5" t="s">
        <v>6495</v>
      </c>
      <c r="V550" s="5" t="s">
        <v>6495</v>
      </c>
      <c r="W550" s="5" t="s">
        <v>6496</v>
      </c>
      <c r="X550" s="5" t="s">
        <v>6496</v>
      </c>
      <c r="Y550" s="4">
        <v>498</v>
      </c>
      <c r="Z550" s="4">
        <v>478</v>
      </c>
      <c r="AA550" s="4">
        <v>486</v>
      </c>
      <c r="AB550" s="4">
        <v>4</v>
      </c>
      <c r="AC550" s="4">
        <v>4</v>
      </c>
      <c r="AD550" s="4">
        <v>18</v>
      </c>
      <c r="AE550" s="4">
        <v>18</v>
      </c>
      <c r="AF550" s="4">
        <v>7</v>
      </c>
      <c r="AG550" s="4">
        <v>7</v>
      </c>
      <c r="AH550" s="4">
        <v>6</v>
      </c>
      <c r="AI550" s="4">
        <v>6</v>
      </c>
      <c r="AJ550" s="4">
        <v>8</v>
      </c>
      <c r="AK550" s="4">
        <v>8</v>
      </c>
      <c r="AL550" s="4">
        <v>3</v>
      </c>
      <c r="AM550" s="4">
        <v>3</v>
      </c>
      <c r="AN550" s="4">
        <v>0</v>
      </c>
      <c r="AO550" s="4">
        <v>0</v>
      </c>
      <c r="AP550" s="3" t="s">
        <v>61</v>
      </c>
      <c r="AQ550" s="3" t="s">
        <v>59</v>
      </c>
      <c r="AR550" s="6" t="str">
        <f>HYPERLINK("http://catalog.hathitrust.org/Record/000441773","HathiTrust Record")</f>
        <v>HathiTrust Record</v>
      </c>
      <c r="AS550" s="6" t="str">
        <f>HYPERLINK("https://creighton-primo.hosted.exlibrisgroup.com/primo-explore/search?tab=default_tab&amp;search_scope=EVERYTHING&amp;vid=01CRU&amp;lang=en_US&amp;offset=0&amp;query=any,contains,991003624299702656","Catalog Record")</f>
        <v>Catalog Record</v>
      </c>
      <c r="AT550" s="6" t="str">
        <f>HYPERLINK("http://www.worldcat.org/oclc/1214692","WorldCat Record")</f>
        <v>WorldCat Record</v>
      </c>
      <c r="AU550" s="3" t="s">
        <v>6497</v>
      </c>
      <c r="AV550" s="3" t="s">
        <v>6498</v>
      </c>
      <c r="AW550" s="3" t="s">
        <v>6499</v>
      </c>
      <c r="AX550" s="3" t="s">
        <v>6499</v>
      </c>
      <c r="AY550" s="3" t="s">
        <v>6500</v>
      </c>
      <c r="AZ550" s="3" t="s">
        <v>75</v>
      </c>
      <c r="BC550" s="3" t="s">
        <v>6501</v>
      </c>
      <c r="BD550" s="3" t="s">
        <v>6502</v>
      </c>
    </row>
    <row r="551" spans="1:56" ht="44.25" customHeight="1" x14ac:dyDescent="0.25">
      <c r="A551" s="7" t="s">
        <v>61</v>
      </c>
      <c r="B551" s="2" t="s">
        <v>6503</v>
      </c>
      <c r="C551" s="2" t="s">
        <v>6504</v>
      </c>
      <c r="D551" s="2" t="s">
        <v>6505</v>
      </c>
      <c r="F551" s="3" t="s">
        <v>61</v>
      </c>
      <c r="G551" s="3" t="s">
        <v>60</v>
      </c>
      <c r="H551" s="3" t="s">
        <v>61</v>
      </c>
      <c r="I551" s="3" t="s">
        <v>61</v>
      </c>
      <c r="J551" s="3" t="s">
        <v>62</v>
      </c>
      <c r="K551" s="2" t="s">
        <v>6506</v>
      </c>
      <c r="L551" s="2" t="s">
        <v>6507</v>
      </c>
      <c r="M551" s="3" t="s">
        <v>2281</v>
      </c>
      <c r="O551" s="3" t="s">
        <v>114</v>
      </c>
      <c r="P551" s="3" t="s">
        <v>235</v>
      </c>
      <c r="Q551" s="2" t="s">
        <v>6508</v>
      </c>
      <c r="R551" s="3" t="s">
        <v>68</v>
      </c>
      <c r="S551" s="4">
        <v>1</v>
      </c>
      <c r="T551" s="4">
        <v>1</v>
      </c>
      <c r="U551" s="5" t="s">
        <v>6455</v>
      </c>
      <c r="V551" s="5" t="s">
        <v>6455</v>
      </c>
      <c r="W551" s="5" t="s">
        <v>5535</v>
      </c>
      <c r="X551" s="5" t="s">
        <v>5535</v>
      </c>
      <c r="Y551" s="4">
        <v>562</v>
      </c>
      <c r="Z551" s="4">
        <v>505</v>
      </c>
      <c r="AA551" s="4">
        <v>512</v>
      </c>
      <c r="AB551" s="4">
        <v>3</v>
      </c>
      <c r="AC551" s="4">
        <v>3</v>
      </c>
      <c r="AD551" s="4">
        <v>23</v>
      </c>
      <c r="AE551" s="4">
        <v>23</v>
      </c>
      <c r="AF551" s="4">
        <v>10</v>
      </c>
      <c r="AG551" s="4">
        <v>10</v>
      </c>
      <c r="AH551" s="4">
        <v>6</v>
      </c>
      <c r="AI551" s="4">
        <v>6</v>
      </c>
      <c r="AJ551" s="4">
        <v>13</v>
      </c>
      <c r="AK551" s="4">
        <v>13</v>
      </c>
      <c r="AL551" s="4">
        <v>2</v>
      </c>
      <c r="AM551" s="4">
        <v>2</v>
      </c>
      <c r="AN551" s="4">
        <v>0</v>
      </c>
      <c r="AO551" s="4">
        <v>0</v>
      </c>
      <c r="AP551" s="3" t="s">
        <v>61</v>
      </c>
      <c r="AQ551" s="3" t="s">
        <v>59</v>
      </c>
      <c r="AR551" s="6" t="str">
        <f>HYPERLINK("http://catalog.hathitrust.org/Record/000212514","HathiTrust Record")</f>
        <v>HathiTrust Record</v>
      </c>
      <c r="AS551" s="6" t="str">
        <f>HYPERLINK("https://creighton-primo.hosted.exlibrisgroup.com/primo-explore/search?tab=default_tab&amp;search_scope=EVERYTHING&amp;vid=01CRU&amp;lang=en_US&amp;offset=0&amp;query=any,contains,991004287459702656","Catalog Record")</f>
        <v>Catalog Record</v>
      </c>
      <c r="AT551" s="6" t="str">
        <f>HYPERLINK("http://www.worldcat.org/oclc/2929675","WorldCat Record")</f>
        <v>WorldCat Record</v>
      </c>
      <c r="AU551" s="3" t="s">
        <v>6509</v>
      </c>
      <c r="AV551" s="3" t="s">
        <v>6510</v>
      </c>
      <c r="AW551" s="3" t="s">
        <v>6511</v>
      </c>
      <c r="AX551" s="3" t="s">
        <v>6511</v>
      </c>
      <c r="AY551" s="3" t="s">
        <v>6512</v>
      </c>
      <c r="AZ551" s="3" t="s">
        <v>75</v>
      </c>
      <c r="BB551" s="3" t="s">
        <v>6513</v>
      </c>
      <c r="BC551" s="3" t="s">
        <v>6514</v>
      </c>
      <c r="BD551" s="3" t="s">
        <v>6515</v>
      </c>
    </row>
    <row r="552" spans="1:56" ht="44.25" customHeight="1" x14ac:dyDescent="0.25">
      <c r="A552" s="7" t="s">
        <v>61</v>
      </c>
      <c r="B552" s="2" t="s">
        <v>6516</v>
      </c>
      <c r="C552" s="2" t="s">
        <v>6517</v>
      </c>
      <c r="D552" s="2" t="s">
        <v>6518</v>
      </c>
      <c r="F552" s="3" t="s">
        <v>61</v>
      </c>
      <c r="G552" s="3" t="s">
        <v>60</v>
      </c>
      <c r="H552" s="3" t="s">
        <v>61</v>
      </c>
      <c r="I552" s="3" t="s">
        <v>61</v>
      </c>
      <c r="J552" s="3" t="s">
        <v>62</v>
      </c>
      <c r="K552" s="2" t="s">
        <v>6519</v>
      </c>
      <c r="L552" s="2" t="s">
        <v>6520</v>
      </c>
      <c r="M552" s="3" t="s">
        <v>350</v>
      </c>
      <c r="O552" s="3" t="s">
        <v>114</v>
      </c>
      <c r="P552" s="3" t="s">
        <v>235</v>
      </c>
      <c r="R552" s="3" t="s">
        <v>68</v>
      </c>
      <c r="S552" s="4">
        <v>1</v>
      </c>
      <c r="T552" s="4">
        <v>1</v>
      </c>
      <c r="U552" s="5" t="s">
        <v>6521</v>
      </c>
      <c r="V552" s="5" t="s">
        <v>6521</v>
      </c>
      <c r="W552" s="5" t="s">
        <v>5728</v>
      </c>
      <c r="X552" s="5" t="s">
        <v>5728</v>
      </c>
      <c r="Y552" s="4">
        <v>326</v>
      </c>
      <c r="Z552" s="4">
        <v>288</v>
      </c>
      <c r="AA552" s="4">
        <v>290</v>
      </c>
      <c r="AB552" s="4">
        <v>3</v>
      </c>
      <c r="AC552" s="4">
        <v>3</v>
      </c>
      <c r="AD552" s="4">
        <v>14</v>
      </c>
      <c r="AE552" s="4">
        <v>14</v>
      </c>
      <c r="AF552" s="4">
        <v>6</v>
      </c>
      <c r="AG552" s="4">
        <v>6</v>
      </c>
      <c r="AH552" s="4">
        <v>3</v>
      </c>
      <c r="AI552" s="4">
        <v>3</v>
      </c>
      <c r="AJ552" s="4">
        <v>5</v>
      </c>
      <c r="AK552" s="4">
        <v>5</v>
      </c>
      <c r="AL552" s="4">
        <v>2</v>
      </c>
      <c r="AM552" s="4">
        <v>2</v>
      </c>
      <c r="AN552" s="4">
        <v>0</v>
      </c>
      <c r="AO552" s="4">
        <v>0</v>
      </c>
      <c r="AP552" s="3" t="s">
        <v>61</v>
      </c>
      <c r="AQ552" s="3" t="s">
        <v>59</v>
      </c>
      <c r="AR552" s="6" t="str">
        <f>HYPERLINK("http://catalog.hathitrust.org/Record/000256628","HathiTrust Record")</f>
        <v>HathiTrust Record</v>
      </c>
      <c r="AS552" s="6" t="str">
        <f>HYPERLINK("https://creighton-primo.hosted.exlibrisgroup.com/primo-explore/search?tab=default_tab&amp;search_scope=EVERYTHING&amp;vid=01CRU&amp;lang=en_US&amp;offset=0&amp;query=any,contains,991004661579702656","Catalog Record")</f>
        <v>Catalog Record</v>
      </c>
      <c r="AT552" s="6" t="str">
        <f>HYPERLINK("http://www.worldcat.org/oclc/4497138","WorldCat Record")</f>
        <v>WorldCat Record</v>
      </c>
      <c r="AU552" s="3" t="s">
        <v>6522</v>
      </c>
      <c r="AV552" s="3" t="s">
        <v>6523</v>
      </c>
      <c r="AW552" s="3" t="s">
        <v>6524</v>
      </c>
      <c r="AX552" s="3" t="s">
        <v>6524</v>
      </c>
      <c r="AY552" s="3" t="s">
        <v>6525</v>
      </c>
      <c r="AZ552" s="3" t="s">
        <v>75</v>
      </c>
      <c r="BB552" s="3" t="s">
        <v>6526</v>
      </c>
      <c r="BC552" s="3" t="s">
        <v>6527</v>
      </c>
      <c r="BD552" s="3" t="s">
        <v>6528</v>
      </c>
    </row>
    <row r="553" spans="1:56" ht="44.25" customHeight="1" x14ac:dyDescent="0.25">
      <c r="A553" s="7" t="s">
        <v>61</v>
      </c>
      <c r="B553" s="2" t="s">
        <v>6529</v>
      </c>
      <c r="C553" s="2" t="s">
        <v>6530</v>
      </c>
      <c r="D553" s="2" t="s">
        <v>6531</v>
      </c>
      <c r="F553" s="3" t="s">
        <v>61</v>
      </c>
      <c r="G553" s="3" t="s">
        <v>60</v>
      </c>
      <c r="H553" s="3" t="s">
        <v>61</v>
      </c>
      <c r="I553" s="3" t="s">
        <v>61</v>
      </c>
      <c r="J553" s="3" t="s">
        <v>62</v>
      </c>
      <c r="K553" s="2" t="s">
        <v>6532</v>
      </c>
      <c r="L553" s="2" t="s">
        <v>6533</v>
      </c>
      <c r="M553" s="3" t="s">
        <v>755</v>
      </c>
      <c r="N553" s="2" t="s">
        <v>306</v>
      </c>
      <c r="O553" s="3" t="s">
        <v>114</v>
      </c>
      <c r="P553" s="3" t="s">
        <v>235</v>
      </c>
      <c r="Q553" s="2" t="s">
        <v>6534</v>
      </c>
      <c r="R553" s="3" t="s">
        <v>68</v>
      </c>
      <c r="S553" s="4">
        <v>4</v>
      </c>
      <c r="T553" s="4">
        <v>4</v>
      </c>
      <c r="U553" s="5" t="s">
        <v>6535</v>
      </c>
      <c r="V553" s="5" t="s">
        <v>6535</v>
      </c>
      <c r="W553" s="5" t="s">
        <v>6140</v>
      </c>
      <c r="X553" s="5" t="s">
        <v>6140</v>
      </c>
      <c r="Y553" s="4">
        <v>877</v>
      </c>
      <c r="Z553" s="4">
        <v>770</v>
      </c>
      <c r="AA553" s="4">
        <v>775</v>
      </c>
      <c r="AB553" s="4">
        <v>5</v>
      </c>
      <c r="AC553" s="4">
        <v>5</v>
      </c>
      <c r="AD553" s="4">
        <v>32</v>
      </c>
      <c r="AE553" s="4">
        <v>32</v>
      </c>
      <c r="AF553" s="4">
        <v>13</v>
      </c>
      <c r="AG553" s="4">
        <v>13</v>
      </c>
      <c r="AH553" s="4">
        <v>6</v>
      </c>
      <c r="AI553" s="4">
        <v>6</v>
      </c>
      <c r="AJ553" s="4">
        <v>17</v>
      </c>
      <c r="AK553" s="4">
        <v>17</v>
      </c>
      <c r="AL553" s="4">
        <v>4</v>
      </c>
      <c r="AM553" s="4">
        <v>4</v>
      </c>
      <c r="AN553" s="4">
        <v>0</v>
      </c>
      <c r="AO553" s="4">
        <v>0</v>
      </c>
      <c r="AP553" s="3" t="s">
        <v>61</v>
      </c>
      <c r="AQ553" s="3" t="s">
        <v>59</v>
      </c>
      <c r="AR553" s="6" t="str">
        <f>HYPERLINK("http://catalog.hathitrust.org/Record/000441879","HathiTrust Record")</f>
        <v>HathiTrust Record</v>
      </c>
      <c r="AS553" s="6" t="str">
        <f>HYPERLINK("https://creighton-primo.hosted.exlibrisgroup.com/primo-explore/search?tab=default_tab&amp;search_scope=EVERYTHING&amp;vid=01CRU&amp;lang=en_US&amp;offset=0&amp;query=any,contains,991001335669702656","Catalog Record")</f>
        <v>Catalog Record</v>
      </c>
      <c r="AT553" s="6" t="str">
        <f>HYPERLINK("http://www.worldcat.org/oclc/221173","WorldCat Record")</f>
        <v>WorldCat Record</v>
      </c>
      <c r="AU553" s="3" t="s">
        <v>6536</v>
      </c>
      <c r="AV553" s="3" t="s">
        <v>6537</v>
      </c>
      <c r="AW553" s="3" t="s">
        <v>6538</v>
      </c>
      <c r="AX553" s="3" t="s">
        <v>6538</v>
      </c>
      <c r="AY553" s="3" t="s">
        <v>6539</v>
      </c>
      <c r="AZ553" s="3" t="s">
        <v>75</v>
      </c>
      <c r="BB553" s="3" t="s">
        <v>6540</v>
      </c>
      <c r="BC553" s="3" t="s">
        <v>6541</v>
      </c>
      <c r="BD553" s="3" t="s">
        <v>6542</v>
      </c>
    </row>
    <row r="554" spans="1:56" ht="44.25" customHeight="1" x14ac:dyDescent="0.25">
      <c r="A554" s="7" t="s">
        <v>61</v>
      </c>
      <c r="B554" s="2" t="s">
        <v>6543</v>
      </c>
      <c r="C554" s="2" t="s">
        <v>6544</v>
      </c>
      <c r="D554" s="2" t="s">
        <v>6545</v>
      </c>
      <c r="F554" s="3" t="s">
        <v>61</v>
      </c>
      <c r="G554" s="3" t="s">
        <v>60</v>
      </c>
      <c r="H554" s="3" t="s">
        <v>61</v>
      </c>
      <c r="I554" s="3" t="s">
        <v>61</v>
      </c>
      <c r="J554" s="3" t="s">
        <v>62</v>
      </c>
      <c r="K554" s="2" t="s">
        <v>6546</v>
      </c>
      <c r="L554" s="2" t="s">
        <v>6547</v>
      </c>
      <c r="M554" s="3" t="s">
        <v>6548</v>
      </c>
      <c r="O554" s="3" t="s">
        <v>114</v>
      </c>
      <c r="P554" s="3" t="s">
        <v>1494</v>
      </c>
      <c r="R554" s="3" t="s">
        <v>68</v>
      </c>
      <c r="S554" s="4">
        <v>6</v>
      </c>
      <c r="T554" s="4">
        <v>6</v>
      </c>
      <c r="U554" s="5" t="s">
        <v>6549</v>
      </c>
      <c r="V554" s="5" t="s">
        <v>6549</v>
      </c>
      <c r="W554" s="5" t="s">
        <v>5535</v>
      </c>
      <c r="X554" s="5" t="s">
        <v>5535</v>
      </c>
      <c r="Y554" s="4">
        <v>442</v>
      </c>
      <c r="Z554" s="4">
        <v>411</v>
      </c>
      <c r="AA554" s="4">
        <v>677</v>
      </c>
      <c r="AB554" s="4">
        <v>5</v>
      </c>
      <c r="AC554" s="4">
        <v>5</v>
      </c>
      <c r="AD554" s="4">
        <v>25</v>
      </c>
      <c r="AE554" s="4">
        <v>37</v>
      </c>
      <c r="AF554" s="4">
        <v>8</v>
      </c>
      <c r="AG554" s="4">
        <v>14</v>
      </c>
      <c r="AH554" s="4">
        <v>5</v>
      </c>
      <c r="AI554" s="4">
        <v>7</v>
      </c>
      <c r="AJ554" s="4">
        <v>11</v>
      </c>
      <c r="AK554" s="4">
        <v>15</v>
      </c>
      <c r="AL554" s="4">
        <v>4</v>
      </c>
      <c r="AM554" s="4">
        <v>4</v>
      </c>
      <c r="AN554" s="4">
        <v>2</v>
      </c>
      <c r="AO554" s="4">
        <v>4</v>
      </c>
      <c r="AP554" s="3" t="s">
        <v>59</v>
      </c>
      <c r="AQ554" s="3" t="s">
        <v>61</v>
      </c>
      <c r="AR554" s="6" t="str">
        <f>HYPERLINK("http://catalog.hathitrust.org/Record/000578213","HathiTrust Record")</f>
        <v>HathiTrust Record</v>
      </c>
      <c r="AS554" s="6" t="str">
        <f>HYPERLINK("https://creighton-primo.hosted.exlibrisgroup.com/primo-explore/search?tab=default_tab&amp;search_scope=EVERYTHING&amp;vid=01CRU&amp;lang=en_US&amp;offset=0&amp;query=any,contains,991003487079702656","Catalog Record")</f>
        <v>Catalog Record</v>
      </c>
      <c r="AT554" s="6" t="str">
        <f>HYPERLINK("http://www.worldcat.org/oclc/1034569","WorldCat Record")</f>
        <v>WorldCat Record</v>
      </c>
      <c r="AU554" s="3" t="s">
        <v>6550</v>
      </c>
      <c r="AV554" s="3" t="s">
        <v>6551</v>
      </c>
      <c r="AW554" s="3" t="s">
        <v>6552</v>
      </c>
      <c r="AX554" s="3" t="s">
        <v>6552</v>
      </c>
      <c r="AY554" s="3" t="s">
        <v>6553</v>
      </c>
      <c r="AZ554" s="3" t="s">
        <v>75</v>
      </c>
      <c r="BC554" s="3" t="s">
        <v>6554</v>
      </c>
      <c r="BD554" s="3" t="s">
        <v>6555</v>
      </c>
    </row>
    <row r="555" spans="1:56" ht="44.25" customHeight="1" x14ac:dyDescent="0.25">
      <c r="A555" s="7" t="s">
        <v>61</v>
      </c>
      <c r="B555" s="2" t="s">
        <v>6556</v>
      </c>
      <c r="C555" s="2" t="s">
        <v>6557</v>
      </c>
      <c r="D555" s="2" t="s">
        <v>6558</v>
      </c>
      <c r="F555" s="3" t="s">
        <v>61</v>
      </c>
      <c r="G555" s="3" t="s">
        <v>60</v>
      </c>
      <c r="H555" s="3" t="s">
        <v>61</v>
      </c>
      <c r="I555" s="3" t="s">
        <v>61</v>
      </c>
      <c r="J555" s="3" t="s">
        <v>62</v>
      </c>
      <c r="K555" s="2" t="s">
        <v>6559</v>
      </c>
      <c r="L555" s="2" t="s">
        <v>6560</v>
      </c>
      <c r="M555" s="3" t="s">
        <v>2488</v>
      </c>
      <c r="O555" s="3" t="s">
        <v>114</v>
      </c>
      <c r="P555" s="3" t="s">
        <v>67</v>
      </c>
      <c r="R555" s="3" t="s">
        <v>68</v>
      </c>
      <c r="S555" s="4">
        <v>3</v>
      </c>
      <c r="T555" s="4">
        <v>3</v>
      </c>
      <c r="U555" s="5" t="s">
        <v>2393</v>
      </c>
      <c r="V555" s="5" t="s">
        <v>2393</v>
      </c>
      <c r="W555" s="5" t="s">
        <v>5690</v>
      </c>
      <c r="X555" s="5" t="s">
        <v>5690</v>
      </c>
      <c r="Y555" s="4">
        <v>510</v>
      </c>
      <c r="Z555" s="4">
        <v>437</v>
      </c>
      <c r="AA555" s="4">
        <v>571</v>
      </c>
      <c r="AB555" s="4">
        <v>5</v>
      </c>
      <c r="AC555" s="4">
        <v>6</v>
      </c>
      <c r="AD555" s="4">
        <v>25</v>
      </c>
      <c r="AE555" s="4">
        <v>29</v>
      </c>
      <c r="AF555" s="4">
        <v>12</v>
      </c>
      <c r="AG555" s="4">
        <v>13</v>
      </c>
      <c r="AH555" s="4">
        <v>5</v>
      </c>
      <c r="AI555" s="4">
        <v>6</v>
      </c>
      <c r="AJ555" s="4">
        <v>13</v>
      </c>
      <c r="AK555" s="4">
        <v>15</v>
      </c>
      <c r="AL555" s="4">
        <v>4</v>
      </c>
      <c r="AM555" s="4">
        <v>5</v>
      </c>
      <c r="AN555" s="4">
        <v>0</v>
      </c>
      <c r="AO555" s="4">
        <v>0</v>
      </c>
      <c r="AP555" s="3" t="s">
        <v>61</v>
      </c>
      <c r="AQ555" s="3" t="s">
        <v>59</v>
      </c>
      <c r="AR555" s="6" t="str">
        <f>HYPERLINK("http://catalog.hathitrust.org/Record/000441781","HathiTrust Record")</f>
        <v>HathiTrust Record</v>
      </c>
      <c r="AS555" s="6" t="str">
        <f>HYPERLINK("https://creighton-primo.hosted.exlibrisgroup.com/primo-explore/search?tab=default_tab&amp;search_scope=EVERYTHING&amp;vid=01CRU&amp;lang=en_US&amp;offset=0&amp;query=any,contains,991002669719702656","Catalog Record")</f>
        <v>Catalog Record</v>
      </c>
      <c r="AT555" s="6" t="str">
        <f>HYPERLINK("http://www.worldcat.org/oclc/394690","WorldCat Record")</f>
        <v>WorldCat Record</v>
      </c>
      <c r="AU555" s="3" t="s">
        <v>6561</v>
      </c>
      <c r="AV555" s="3" t="s">
        <v>6562</v>
      </c>
      <c r="AW555" s="3" t="s">
        <v>6563</v>
      </c>
      <c r="AX555" s="3" t="s">
        <v>6563</v>
      </c>
      <c r="AY555" s="3" t="s">
        <v>6564</v>
      </c>
      <c r="AZ555" s="3" t="s">
        <v>75</v>
      </c>
      <c r="BC555" s="3" t="s">
        <v>6565</v>
      </c>
      <c r="BD555" s="3" t="s">
        <v>6566</v>
      </c>
    </row>
    <row r="556" spans="1:56" ht="44.25" customHeight="1" x14ac:dyDescent="0.25">
      <c r="A556" s="7" t="s">
        <v>61</v>
      </c>
      <c r="B556" s="2" t="s">
        <v>6567</v>
      </c>
      <c r="C556" s="2" t="s">
        <v>6568</v>
      </c>
      <c r="D556" s="2" t="s">
        <v>6569</v>
      </c>
      <c r="F556" s="3" t="s">
        <v>61</v>
      </c>
      <c r="G556" s="3" t="s">
        <v>60</v>
      </c>
      <c r="H556" s="3" t="s">
        <v>61</v>
      </c>
      <c r="I556" s="3" t="s">
        <v>61</v>
      </c>
      <c r="J556" s="3" t="s">
        <v>62</v>
      </c>
      <c r="K556" s="2" t="s">
        <v>6570</v>
      </c>
      <c r="L556" s="2" t="s">
        <v>6571</v>
      </c>
      <c r="M556" s="3" t="s">
        <v>4337</v>
      </c>
      <c r="O556" s="3" t="s">
        <v>114</v>
      </c>
      <c r="P556" s="3" t="s">
        <v>115</v>
      </c>
      <c r="Q556" s="2" t="s">
        <v>6572</v>
      </c>
      <c r="R556" s="3" t="s">
        <v>68</v>
      </c>
      <c r="S556" s="4">
        <v>3</v>
      </c>
      <c r="T556" s="4">
        <v>3</v>
      </c>
      <c r="U556" s="5" t="s">
        <v>3232</v>
      </c>
      <c r="V556" s="5" t="s">
        <v>3232</v>
      </c>
      <c r="W556" s="5" t="s">
        <v>6573</v>
      </c>
      <c r="X556" s="5" t="s">
        <v>6573</v>
      </c>
      <c r="Y556" s="4">
        <v>1130</v>
      </c>
      <c r="Z556" s="4">
        <v>1004</v>
      </c>
      <c r="AA556" s="4">
        <v>1297</v>
      </c>
      <c r="AB556" s="4">
        <v>8</v>
      </c>
      <c r="AC556" s="4">
        <v>9</v>
      </c>
      <c r="AD556" s="4">
        <v>41</v>
      </c>
      <c r="AE556" s="4">
        <v>53</v>
      </c>
      <c r="AF556" s="4">
        <v>17</v>
      </c>
      <c r="AG556" s="4">
        <v>23</v>
      </c>
      <c r="AH556" s="4">
        <v>9</v>
      </c>
      <c r="AI556" s="4">
        <v>11</v>
      </c>
      <c r="AJ556" s="4">
        <v>17</v>
      </c>
      <c r="AK556" s="4">
        <v>23</v>
      </c>
      <c r="AL556" s="4">
        <v>7</v>
      </c>
      <c r="AM556" s="4">
        <v>8</v>
      </c>
      <c r="AN556" s="4">
        <v>0</v>
      </c>
      <c r="AO556" s="4">
        <v>0</v>
      </c>
      <c r="AP556" s="3" t="s">
        <v>61</v>
      </c>
      <c r="AQ556" s="3" t="s">
        <v>59</v>
      </c>
      <c r="AR556" s="6" t="str">
        <f>HYPERLINK("http://catalog.hathitrust.org/Record/000444095","HathiTrust Record")</f>
        <v>HathiTrust Record</v>
      </c>
      <c r="AS556" s="6" t="str">
        <f>HYPERLINK("https://creighton-primo.hosted.exlibrisgroup.com/primo-explore/search?tab=default_tab&amp;search_scope=EVERYTHING&amp;vid=01CRU&amp;lang=en_US&amp;offset=0&amp;query=any,contains,991002669339702656","Catalog Record")</f>
        <v>Catalog Record</v>
      </c>
      <c r="AT556" s="6" t="str">
        <f>HYPERLINK("http://www.worldcat.org/oclc/394559","WorldCat Record")</f>
        <v>WorldCat Record</v>
      </c>
      <c r="AU556" s="3" t="s">
        <v>6574</v>
      </c>
      <c r="AV556" s="3" t="s">
        <v>6575</v>
      </c>
      <c r="AW556" s="3" t="s">
        <v>6576</v>
      </c>
      <c r="AX556" s="3" t="s">
        <v>6576</v>
      </c>
      <c r="AY556" s="3" t="s">
        <v>6577</v>
      </c>
      <c r="AZ556" s="3" t="s">
        <v>75</v>
      </c>
      <c r="BC556" s="3" t="s">
        <v>6578</v>
      </c>
      <c r="BD556" s="3" t="s">
        <v>6579</v>
      </c>
    </row>
    <row r="557" spans="1:56" ht="44.25" customHeight="1" x14ac:dyDescent="0.25">
      <c r="A557" s="7" t="s">
        <v>61</v>
      </c>
      <c r="B557" s="2" t="s">
        <v>6580</v>
      </c>
      <c r="C557" s="2" t="s">
        <v>6581</v>
      </c>
      <c r="D557" s="2" t="s">
        <v>6582</v>
      </c>
      <c r="F557" s="3" t="s">
        <v>61</v>
      </c>
      <c r="G557" s="3" t="s">
        <v>60</v>
      </c>
      <c r="H557" s="3" t="s">
        <v>61</v>
      </c>
      <c r="I557" s="3" t="s">
        <v>61</v>
      </c>
      <c r="J557" s="3" t="s">
        <v>62</v>
      </c>
      <c r="K557" s="2" t="s">
        <v>6583</v>
      </c>
      <c r="L557" s="2" t="s">
        <v>6584</v>
      </c>
      <c r="M557" s="3" t="s">
        <v>6548</v>
      </c>
      <c r="O557" s="3" t="s">
        <v>114</v>
      </c>
      <c r="P557" s="3" t="s">
        <v>115</v>
      </c>
      <c r="R557" s="3" t="s">
        <v>68</v>
      </c>
      <c r="S557" s="4">
        <v>3</v>
      </c>
      <c r="T557" s="4">
        <v>3</v>
      </c>
      <c r="U557" s="5" t="s">
        <v>6585</v>
      </c>
      <c r="V557" s="5" t="s">
        <v>6585</v>
      </c>
      <c r="W557" s="5" t="s">
        <v>6573</v>
      </c>
      <c r="X557" s="5" t="s">
        <v>6573</v>
      </c>
      <c r="Y557" s="4">
        <v>1211</v>
      </c>
      <c r="Z557" s="4">
        <v>1118</v>
      </c>
      <c r="AA557" s="4">
        <v>1396</v>
      </c>
      <c r="AB557" s="4">
        <v>11</v>
      </c>
      <c r="AC557" s="4">
        <v>15</v>
      </c>
      <c r="AD557" s="4">
        <v>50</v>
      </c>
      <c r="AE557" s="4">
        <v>55</v>
      </c>
      <c r="AF557" s="4">
        <v>22</v>
      </c>
      <c r="AG557" s="4">
        <v>24</v>
      </c>
      <c r="AH557" s="4">
        <v>10</v>
      </c>
      <c r="AI557" s="4">
        <v>11</v>
      </c>
      <c r="AJ557" s="4">
        <v>22</v>
      </c>
      <c r="AK557" s="4">
        <v>23</v>
      </c>
      <c r="AL557" s="4">
        <v>8</v>
      </c>
      <c r="AM557" s="4">
        <v>10</v>
      </c>
      <c r="AN557" s="4">
        <v>0</v>
      </c>
      <c r="AO557" s="4">
        <v>0</v>
      </c>
      <c r="AP557" s="3" t="s">
        <v>61</v>
      </c>
      <c r="AQ557" s="3" t="s">
        <v>59</v>
      </c>
      <c r="AR557" s="6" t="str">
        <f>HYPERLINK("http://catalog.hathitrust.org/Record/000443853","HathiTrust Record")</f>
        <v>HathiTrust Record</v>
      </c>
      <c r="AS557" s="6" t="str">
        <f>HYPERLINK("https://creighton-primo.hosted.exlibrisgroup.com/primo-explore/search?tab=default_tab&amp;search_scope=EVERYTHING&amp;vid=01CRU&amp;lang=en_US&amp;offset=0&amp;query=any,contains,991002669219702656","Catalog Record")</f>
        <v>Catalog Record</v>
      </c>
      <c r="AT557" s="6" t="str">
        <f>HYPERLINK("http://www.worldcat.org/oclc/394545","WorldCat Record")</f>
        <v>WorldCat Record</v>
      </c>
      <c r="AU557" s="3" t="s">
        <v>6586</v>
      </c>
      <c r="AV557" s="3" t="s">
        <v>6587</v>
      </c>
      <c r="AW557" s="3" t="s">
        <v>6588</v>
      </c>
      <c r="AX557" s="3" t="s">
        <v>6588</v>
      </c>
      <c r="AY557" s="3" t="s">
        <v>6589</v>
      </c>
      <c r="AZ557" s="3" t="s">
        <v>75</v>
      </c>
      <c r="BC557" s="3" t="s">
        <v>6590</v>
      </c>
      <c r="BD557" s="3" t="s">
        <v>6591</v>
      </c>
    </row>
    <row r="558" spans="1:56" ht="44.25" customHeight="1" x14ac:dyDescent="0.25">
      <c r="A558" s="7" t="s">
        <v>61</v>
      </c>
      <c r="B558" s="2" t="s">
        <v>6592</v>
      </c>
      <c r="C558" s="2" t="s">
        <v>6593</v>
      </c>
      <c r="D558" s="2" t="s">
        <v>6594</v>
      </c>
      <c r="F558" s="3" t="s">
        <v>61</v>
      </c>
      <c r="G558" s="3" t="s">
        <v>60</v>
      </c>
      <c r="H558" s="3" t="s">
        <v>61</v>
      </c>
      <c r="I558" s="3" t="s">
        <v>61</v>
      </c>
      <c r="J558" s="3" t="s">
        <v>62</v>
      </c>
      <c r="K558" s="2" t="s">
        <v>6595</v>
      </c>
      <c r="L558" s="2" t="s">
        <v>6596</v>
      </c>
      <c r="M558" s="3" t="s">
        <v>466</v>
      </c>
      <c r="O558" s="3" t="s">
        <v>114</v>
      </c>
      <c r="P558" s="3" t="s">
        <v>6597</v>
      </c>
      <c r="R558" s="3" t="s">
        <v>68</v>
      </c>
      <c r="S558" s="4">
        <v>4</v>
      </c>
      <c r="T558" s="4">
        <v>4</v>
      </c>
      <c r="U558" s="5" t="s">
        <v>3232</v>
      </c>
      <c r="V558" s="5" t="s">
        <v>3232</v>
      </c>
      <c r="W558" s="5" t="s">
        <v>5690</v>
      </c>
      <c r="X558" s="5" t="s">
        <v>5690</v>
      </c>
      <c r="Y558" s="4">
        <v>439</v>
      </c>
      <c r="Z558" s="4">
        <v>378</v>
      </c>
      <c r="AA558" s="4">
        <v>380</v>
      </c>
      <c r="AB558" s="4">
        <v>4</v>
      </c>
      <c r="AC558" s="4">
        <v>4</v>
      </c>
      <c r="AD558" s="4">
        <v>18</v>
      </c>
      <c r="AE558" s="4">
        <v>18</v>
      </c>
      <c r="AF558" s="4">
        <v>7</v>
      </c>
      <c r="AG558" s="4">
        <v>7</v>
      </c>
      <c r="AH558" s="4">
        <v>7</v>
      </c>
      <c r="AI558" s="4">
        <v>7</v>
      </c>
      <c r="AJ558" s="4">
        <v>8</v>
      </c>
      <c r="AK558" s="4">
        <v>8</v>
      </c>
      <c r="AL558" s="4">
        <v>3</v>
      </c>
      <c r="AM558" s="4">
        <v>3</v>
      </c>
      <c r="AN558" s="4">
        <v>0</v>
      </c>
      <c r="AO558" s="4">
        <v>0</v>
      </c>
      <c r="AP558" s="3" t="s">
        <v>61</v>
      </c>
      <c r="AQ558" s="3" t="s">
        <v>59</v>
      </c>
      <c r="AR558" s="6" t="str">
        <f>HYPERLINK("http://catalog.hathitrust.org/Record/000134760","HathiTrust Record")</f>
        <v>HathiTrust Record</v>
      </c>
      <c r="AS558" s="6" t="str">
        <f>HYPERLINK("https://creighton-primo.hosted.exlibrisgroup.com/primo-explore/search?tab=default_tab&amp;search_scope=EVERYTHING&amp;vid=01CRU&amp;lang=en_US&amp;offset=0&amp;query=any,contains,991004523099702656","Catalog Record")</f>
        <v>Catalog Record</v>
      </c>
      <c r="AT558" s="6" t="str">
        <f>HYPERLINK("http://www.worldcat.org/oclc/3831415","WorldCat Record")</f>
        <v>WorldCat Record</v>
      </c>
      <c r="AU558" s="3" t="s">
        <v>6598</v>
      </c>
      <c r="AV558" s="3" t="s">
        <v>6599</v>
      </c>
      <c r="AW558" s="3" t="s">
        <v>6600</v>
      </c>
      <c r="AX558" s="3" t="s">
        <v>6600</v>
      </c>
      <c r="AY558" s="3" t="s">
        <v>6601</v>
      </c>
      <c r="AZ558" s="3" t="s">
        <v>75</v>
      </c>
      <c r="BB558" s="3" t="s">
        <v>6602</v>
      </c>
      <c r="BC558" s="3" t="s">
        <v>6603</v>
      </c>
      <c r="BD558" s="3" t="s">
        <v>6604</v>
      </c>
    </row>
    <row r="559" spans="1:56" ht="44.25" customHeight="1" x14ac:dyDescent="0.25">
      <c r="A559" s="7" t="s">
        <v>61</v>
      </c>
      <c r="B559" s="2" t="s">
        <v>6605</v>
      </c>
      <c r="C559" s="2" t="s">
        <v>6606</v>
      </c>
      <c r="D559" s="2" t="s">
        <v>6607</v>
      </c>
      <c r="E559" s="3" t="s">
        <v>141</v>
      </c>
      <c r="F559" s="3" t="s">
        <v>59</v>
      </c>
      <c r="G559" s="3" t="s">
        <v>60</v>
      </c>
      <c r="H559" s="3" t="s">
        <v>61</v>
      </c>
      <c r="I559" s="3" t="s">
        <v>61</v>
      </c>
      <c r="J559" s="3" t="s">
        <v>62</v>
      </c>
      <c r="K559" s="2" t="s">
        <v>6608</v>
      </c>
      <c r="L559" s="2" t="s">
        <v>6609</v>
      </c>
      <c r="M559" s="3" t="s">
        <v>113</v>
      </c>
      <c r="O559" s="3" t="s">
        <v>114</v>
      </c>
      <c r="P559" s="3" t="s">
        <v>235</v>
      </c>
      <c r="R559" s="3" t="s">
        <v>68</v>
      </c>
      <c r="S559" s="4">
        <v>0</v>
      </c>
      <c r="T559" s="4">
        <v>2</v>
      </c>
      <c r="V559" s="5" t="s">
        <v>3232</v>
      </c>
      <c r="W559" s="5" t="s">
        <v>5535</v>
      </c>
      <c r="X559" s="5" t="s">
        <v>5535</v>
      </c>
      <c r="Y559" s="4">
        <v>316</v>
      </c>
      <c r="Z559" s="4">
        <v>295</v>
      </c>
      <c r="AA559" s="4">
        <v>319</v>
      </c>
      <c r="AB559" s="4">
        <v>2</v>
      </c>
      <c r="AC559" s="4">
        <v>2</v>
      </c>
      <c r="AD559" s="4">
        <v>10</v>
      </c>
      <c r="AE559" s="4">
        <v>11</v>
      </c>
      <c r="AF559" s="4">
        <v>5</v>
      </c>
      <c r="AG559" s="4">
        <v>6</v>
      </c>
      <c r="AH559" s="4">
        <v>3</v>
      </c>
      <c r="AI559" s="4">
        <v>3</v>
      </c>
      <c r="AJ559" s="4">
        <v>3</v>
      </c>
      <c r="AK559" s="4">
        <v>3</v>
      </c>
      <c r="AL559" s="4">
        <v>1</v>
      </c>
      <c r="AM559" s="4">
        <v>1</v>
      </c>
      <c r="AN559" s="4">
        <v>0</v>
      </c>
      <c r="AO559" s="4">
        <v>0</v>
      </c>
      <c r="AP559" s="3" t="s">
        <v>61</v>
      </c>
      <c r="AQ559" s="3" t="s">
        <v>59</v>
      </c>
      <c r="AR559" s="6" t="str">
        <f>HYPERLINK("http://catalog.hathitrust.org/Record/000441829","HathiTrust Record")</f>
        <v>HathiTrust Record</v>
      </c>
      <c r="AS559" s="6" t="str">
        <f>HYPERLINK("https://creighton-primo.hosted.exlibrisgroup.com/primo-explore/search?tab=default_tab&amp;search_scope=EVERYTHING&amp;vid=01CRU&amp;lang=en_US&amp;offset=0&amp;query=any,contains,991003888969702656","Catalog Record")</f>
        <v>Catalog Record</v>
      </c>
      <c r="AT559" s="6" t="str">
        <f>HYPERLINK("http://www.worldcat.org/oclc/1746831","WorldCat Record")</f>
        <v>WorldCat Record</v>
      </c>
      <c r="AU559" s="3" t="s">
        <v>6610</v>
      </c>
      <c r="AV559" s="3" t="s">
        <v>6611</v>
      </c>
      <c r="AW559" s="3" t="s">
        <v>6612</v>
      </c>
      <c r="AX559" s="3" t="s">
        <v>6612</v>
      </c>
      <c r="AY559" s="3" t="s">
        <v>6613</v>
      </c>
      <c r="AZ559" s="3" t="s">
        <v>75</v>
      </c>
      <c r="BC559" s="3" t="s">
        <v>6614</v>
      </c>
      <c r="BD559" s="3" t="s">
        <v>6615</v>
      </c>
    </row>
    <row r="560" spans="1:56" ht="44.25" customHeight="1" x14ac:dyDescent="0.25">
      <c r="A560" s="7" t="s">
        <v>61</v>
      </c>
      <c r="B560" s="2" t="s">
        <v>6605</v>
      </c>
      <c r="C560" s="2" t="s">
        <v>6606</v>
      </c>
      <c r="D560" s="2" t="s">
        <v>6607</v>
      </c>
      <c r="E560" s="3" t="s">
        <v>84</v>
      </c>
      <c r="F560" s="3" t="s">
        <v>59</v>
      </c>
      <c r="G560" s="3" t="s">
        <v>60</v>
      </c>
      <c r="H560" s="3" t="s">
        <v>61</v>
      </c>
      <c r="I560" s="3" t="s">
        <v>61</v>
      </c>
      <c r="J560" s="3" t="s">
        <v>62</v>
      </c>
      <c r="K560" s="2" t="s">
        <v>6608</v>
      </c>
      <c r="L560" s="2" t="s">
        <v>6609</v>
      </c>
      <c r="M560" s="3" t="s">
        <v>113</v>
      </c>
      <c r="O560" s="3" t="s">
        <v>114</v>
      </c>
      <c r="P560" s="3" t="s">
        <v>235</v>
      </c>
      <c r="R560" s="3" t="s">
        <v>68</v>
      </c>
      <c r="S560" s="4">
        <v>2</v>
      </c>
      <c r="T560" s="4">
        <v>2</v>
      </c>
      <c r="U560" s="5" t="s">
        <v>3232</v>
      </c>
      <c r="V560" s="5" t="s">
        <v>3232</v>
      </c>
      <c r="W560" s="5" t="s">
        <v>5535</v>
      </c>
      <c r="X560" s="5" t="s">
        <v>5535</v>
      </c>
      <c r="Y560" s="4">
        <v>316</v>
      </c>
      <c r="Z560" s="4">
        <v>295</v>
      </c>
      <c r="AA560" s="4">
        <v>319</v>
      </c>
      <c r="AB560" s="4">
        <v>2</v>
      </c>
      <c r="AC560" s="4">
        <v>2</v>
      </c>
      <c r="AD560" s="4">
        <v>10</v>
      </c>
      <c r="AE560" s="4">
        <v>11</v>
      </c>
      <c r="AF560" s="4">
        <v>5</v>
      </c>
      <c r="AG560" s="4">
        <v>6</v>
      </c>
      <c r="AH560" s="4">
        <v>3</v>
      </c>
      <c r="AI560" s="4">
        <v>3</v>
      </c>
      <c r="AJ560" s="4">
        <v>3</v>
      </c>
      <c r="AK560" s="4">
        <v>3</v>
      </c>
      <c r="AL560" s="4">
        <v>1</v>
      </c>
      <c r="AM560" s="4">
        <v>1</v>
      </c>
      <c r="AN560" s="4">
        <v>0</v>
      </c>
      <c r="AO560" s="4">
        <v>0</v>
      </c>
      <c r="AP560" s="3" t="s">
        <v>61</v>
      </c>
      <c r="AQ560" s="3" t="s">
        <v>59</v>
      </c>
      <c r="AR560" s="6" t="str">
        <f>HYPERLINK("http://catalog.hathitrust.org/Record/000441829","HathiTrust Record")</f>
        <v>HathiTrust Record</v>
      </c>
      <c r="AS560" s="6" t="str">
        <f>HYPERLINK("https://creighton-primo.hosted.exlibrisgroup.com/primo-explore/search?tab=default_tab&amp;search_scope=EVERYTHING&amp;vid=01CRU&amp;lang=en_US&amp;offset=0&amp;query=any,contains,991003888969702656","Catalog Record")</f>
        <v>Catalog Record</v>
      </c>
      <c r="AT560" s="6" t="str">
        <f>HYPERLINK("http://www.worldcat.org/oclc/1746831","WorldCat Record")</f>
        <v>WorldCat Record</v>
      </c>
      <c r="AU560" s="3" t="s">
        <v>6610</v>
      </c>
      <c r="AV560" s="3" t="s">
        <v>6611</v>
      </c>
      <c r="AW560" s="3" t="s">
        <v>6612</v>
      </c>
      <c r="AX560" s="3" t="s">
        <v>6612</v>
      </c>
      <c r="AY560" s="3" t="s">
        <v>6613</v>
      </c>
      <c r="AZ560" s="3" t="s">
        <v>75</v>
      </c>
      <c r="BC560" s="3" t="s">
        <v>6616</v>
      </c>
      <c r="BD560" s="3" t="s">
        <v>6617</v>
      </c>
    </row>
    <row r="561" spans="1:56" ht="44.25" customHeight="1" x14ac:dyDescent="0.25">
      <c r="A561" s="7" t="s">
        <v>61</v>
      </c>
      <c r="B561" s="2" t="s">
        <v>6605</v>
      </c>
      <c r="C561" s="2" t="s">
        <v>6606</v>
      </c>
      <c r="D561" s="2" t="s">
        <v>6607</v>
      </c>
      <c r="E561" s="3" t="s">
        <v>90</v>
      </c>
      <c r="F561" s="3" t="s">
        <v>59</v>
      </c>
      <c r="G561" s="3" t="s">
        <v>60</v>
      </c>
      <c r="H561" s="3" t="s">
        <v>61</v>
      </c>
      <c r="I561" s="3" t="s">
        <v>61</v>
      </c>
      <c r="J561" s="3" t="s">
        <v>62</v>
      </c>
      <c r="K561" s="2" t="s">
        <v>6608</v>
      </c>
      <c r="L561" s="2" t="s">
        <v>6609</v>
      </c>
      <c r="M561" s="3" t="s">
        <v>113</v>
      </c>
      <c r="O561" s="3" t="s">
        <v>114</v>
      </c>
      <c r="P561" s="3" t="s">
        <v>235</v>
      </c>
      <c r="R561" s="3" t="s">
        <v>68</v>
      </c>
      <c r="S561" s="4">
        <v>0</v>
      </c>
      <c r="T561" s="4">
        <v>2</v>
      </c>
      <c r="V561" s="5" t="s">
        <v>3232</v>
      </c>
      <c r="W561" s="5" t="s">
        <v>5535</v>
      </c>
      <c r="X561" s="5" t="s">
        <v>5535</v>
      </c>
      <c r="Y561" s="4">
        <v>316</v>
      </c>
      <c r="Z561" s="4">
        <v>295</v>
      </c>
      <c r="AA561" s="4">
        <v>319</v>
      </c>
      <c r="AB561" s="4">
        <v>2</v>
      </c>
      <c r="AC561" s="4">
        <v>2</v>
      </c>
      <c r="AD561" s="4">
        <v>10</v>
      </c>
      <c r="AE561" s="4">
        <v>11</v>
      </c>
      <c r="AF561" s="4">
        <v>5</v>
      </c>
      <c r="AG561" s="4">
        <v>6</v>
      </c>
      <c r="AH561" s="4">
        <v>3</v>
      </c>
      <c r="AI561" s="4">
        <v>3</v>
      </c>
      <c r="AJ561" s="4">
        <v>3</v>
      </c>
      <c r="AK561" s="4">
        <v>3</v>
      </c>
      <c r="AL561" s="4">
        <v>1</v>
      </c>
      <c r="AM561" s="4">
        <v>1</v>
      </c>
      <c r="AN561" s="4">
        <v>0</v>
      </c>
      <c r="AO561" s="4">
        <v>0</v>
      </c>
      <c r="AP561" s="3" t="s">
        <v>61</v>
      </c>
      <c r="AQ561" s="3" t="s">
        <v>59</v>
      </c>
      <c r="AR561" s="6" t="str">
        <f>HYPERLINK("http://catalog.hathitrust.org/Record/000441829","HathiTrust Record")</f>
        <v>HathiTrust Record</v>
      </c>
      <c r="AS561" s="6" t="str">
        <f>HYPERLINK("https://creighton-primo.hosted.exlibrisgroup.com/primo-explore/search?tab=default_tab&amp;search_scope=EVERYTHING&amp;vid=01CRU&amp;lang=en_US&amp;offset=0&amp;query=any,contains,991003888969702656","Catalog Record")</f>
        <v>Catalog Record</v>
      </c>
      <c r="AT561" s="6" t="str">
        <f>HYPERLINK("http://www.worldcat.org/oclc/1746831","WorldCat Record")</f>
        <v>WorldCat Record</v>
      </c>
      <c r="AU561" s="3" t="s">
        <v>6610</v>
      </c>
      <c r="AV561" s="3" t="s">
        <v>6611</v>
      </c>
      <c r="AW561" s="3" t="s">
        <v>6612</v>
      </c>
      <c r="AX561" s="3" t="s">
        <v>6612</v>
      </c>
      <c r="AY561" s="3" t="s">
        <v>6613</v>
      </c>
      <c r="AZ561" s="3" t="s">
        <v>75</v>
      </c>
      <c r="BC561" s="3" t="s">
        <v>6618</v>
      </c>
      <c r="BD561" s="3" t="s">
        <v>6619</v>
      </c>
    </row>
    <row r="562" spans="1:56" ht="44.25" customHeight="1" x14ac:dyDescent="0.25">
      <c r="A562" s="7" t="s">
        <v>61</v>
      </c>
      <c r="B562" s="2" t="s">
        <v>6620</v>
      </c>
      <c r="C562" s="2" t="s">
        <v>6621</v>
      </c>
      <c r="D562" s="2" t="s">
        <v>6622</v>
      </c>
      <c r="F562" s="3" t="s">
        <v>61</v>
      </c>
      <c r="G562" s="3" t="s">
        <v>60</v>
      </c>
      <c r="H562" s="3" t="s">
        <v>61</v>
      </c>
      <c r="I562" s="3" t="s">
        <v>61</v>
      </c>
      <c r="J562" s="3" t="s">
        <v>62</v>
      </c>
      <c r="K562" s="2" t="s">
        <v>6623</v>
      </c>
      <c r="L562" s="2" t="s">
        <v>6624</v>
      </c>
      <c r="M562" s="3" t="s">
        <v>6086</v>
      </c>
      <c r="O562" s="3" t="s">
        <v>114</v>
      </c>
      <c r="P562" s="3" t="s">
        <v>1212</v>
      </c>
      <c r="R562" s="3" t="s">
        <v>68</v>
      </c>
      <c r="S562" s="4">
        <v>3</v>
      </c>
      <c r="T562" s="4">
        <v>3</v>
      </c>
      <c r="U562" s="5" t="s">
        <v>5953</v>
      </c>
      <c r="V562" s="5" t="s">
        <v>5953</v>
      </c>
      <c r="W562" s="5" t="s">
        <v>6625</v>
      </c>
      <c r="X562" s="5" t="s">
        <v>6625</v>
      </c>
      <c r="Y562" s="4">
        <v>753</v>
      </c>
      <c r="Z562" s="4">
        <v>687</v>
      </c>
      <c r="AA562" s="4">
        <v>905</v>
      </c>
      <c r="AB562" s="4">
        <v>7</v>
      </c>
      <c r="AC562" s="4">
        <v>7</v>
      </c>
      <c r="AD562" s="4">
        <v>43</v>
      </c>
      <c r="AE562" s="4">
        <v>49</v>
      </c>
      <c r="AF562" s="4">
        <v>17</v>
      </c>
      <c r="AG562" s="4">
        <v>21</v>
      </c>
      <c r="AH562" s="4">
        <v>10</v>
      </c>
      <c r="AI562" s="4">
        <v>11</v>
      </c>
      <c r="AJ562" s="4">
        <v>21</v>
      </c>
      <c r="AK562" s="4">
        <v>24</v>
      </c>
      <c r="AL562" s="4">
        <v>6</v>
      </c>
      <c r="AM562" s="4">
        <v>6</v>
      </c>
      <c r="AN562" s="4">
        <v>1</v>
      </c>
      <c r="AO562" s="4">
        <v>1</v>
      </c>
      <c r="AP562" s="3" t="s">
        <v>61</v>
      </c>
      <c r="AQ562" s="3" t="s">
        <v>59</v>
      </c>
      <c r="AR562" s="6" t="str">
        <f>HYPERLINK("http://catalog.hathitrust.org/Record/000816270","HathiTrust Record")</f>
        <v>HathiTrust Record</v>
      </c>
      <c r="AS562" s="6" t="str">
        <f>HYPERLINK("https://creighton-primo.hosted.exlibrisgroup.com/primo-explore/search?tab=default_tab&amp;search_scope=EVERYTHING&amp;vid=01CRU&amp;lang=en_US&amp;offset=0&amp;query=any,contains,991002669239702656","Catalog Record")</f>
        <v>Catalog Record</v>
      </c>
      <c r="AT562" s="6" t="str">
        <f>HYPERLINK("http://www.worldcat.org/oclc/394551","WorldCat Record")</f>
        <v>WorldCat Record</v>
      </c>
      <c r="AU562" s="3" t="s">
        <v>6626</v>
      </c>
      <c r="AV562" s="3" t="s">
        <v>6627</v>
      </c>
      <c r="AW562" s="3" t="s">
        <v>6628</v>
      </c>
      <c r="AX562" s="3" t="s">
        <v>6628</v>
      </c>
      <c r="AY562" s="3" t="s">
        <v>6629</v>
      </c>
      <c r="AZ562" s="3" t="s">
        <v>75</v>
      </c>
      <c r="BC562" s="3" t="s">
        <v>6630</v>
      </c>
      <c r="BD562" s="3" t="s">
        <v>6631</v>
      </c>
    </row>
    <row r="563" spans="1:56" ht="44.25" customHeight="1" x14ac:dyDescent="0.25">
      <c r="A563" s="7" t="s">
        <v>61</v>
      </c>
      <c r="B563" s="2" t="s">
        <v>6632</v>
      </c>
      <c r="C563" s="2" t="s">
        <v>6633</v>
      </c>
      <c r="D563" s="2" t="s">
        <v>6634</v>
      </c>
      <c r="F563" s="3" t="s">
        <v>61</v>
      </c>
      <c r="G563" s="3" t="s">
        <v>60</v>
      </c>
      <c r="H563" s="3" t="s">
        <v>61</v>
      </c>
      <c r="I563" s="3" t="s">
        <v>61</v>
      </c>
      <c r="J563" s="3" t="s">
        <v>62</v>
      </c>
      <c r="K563" s="2" t="s">
        <v>6635</v>
      </c>
      <c r="L563" s="2" t="s">
        <v>6636</v>
      </c>
      <c r="M563" s="3" t="s">
        <v>1060</v>
      </c>
      <c r="O563" s="3" t="s">
        <v>114</v>
      </c>
      <c r="P563" s="3" t="s">
        <v>67</v>
      </c>
      <c r="Q563" s="2" t="s">
        <v>6637</v>
      </c>
      <c r="R563" s="3" t="s">
        <v>68</v>
      </c>
      <c r="S563" s="4">
        <v>4</v>
      </c>
      <c r="T563" s="4">
        <v>4</v>
      </c>
      <c r="U563" s="5" t="s">
        <v>6638</v>
      </c>
      <c r="V563" s="5" t="s">
        <v>6638</v>
      </c>
      <c r="W563" s="5" t="s">
        <v>6639</v>
      </c>
      <c r="X563" s="5" t="s">
        <v>6639</v>
      </c>
      <c r="Y563" s="4">
        <v>254</v>
      </c>
      <c r="Z563" s="4">
        <v>200</v>
      </c>
      <c r="AA563" s="4">
        <v>447</v>
      </c>
      <c r="AB563" s="4">
        <v>2</v>
      </c>
      <c r="AC563" s="4">
        <v>6</v>
      </c>
      <c r="AD563" s="4">
        <v>7</v>
      </c>
      <c r="AE563" s="4">
        <v>27</v>
      </c>
      <c r="AF563" s="4">
        <v>0</v>
      </c>
      <c r="AG563" s="4">
        <v>9</v>
      </c>
      <c r="AH563" s="4">
        <v>3</v>
      </c>
      <c r="AI563" s="4">
        <v>5</v>
      </c>
      <c r="AJ563" s="4">
        <v>5</v>
      </c>
      <c r="AK563" s="4">
        <v>16</v>
      </c>
      <c r="AL563" s="4">
        <v>1</v>
      </c>
      <c r="AM563" s="4">
        <v>5</v>
      </c>
      <c r="AN563" s="4">
        <v>0</v>
      </c>
      <c r="AO563" s="4">
        <v>0</v>
      </c>
      <c r="AP563" s="3" t="s">
        <v>61</v>
      </c>
      <c r="AQ563" s="3" t="s">
        <v>59</v>
      </c>
      <c r="AR563" s="6" t="str">
        <f>HYPERLINK("http://catalog.hathitrust.org/Record/000441894","HathiTrust Record")</f>
        <v>HathiTrust Record</v>
      </c>
      <c r="AS563" s="6" t="str">
        <f>HYPERLINK("https://creighton-primo.hosted.exlibrisgroup.com/primo-explore/search?tab=default_tab&amp;search_scope=EVERYTHING&amp;vid=01CRU&amp;lang=en_US&amp;offset=0&amp;query=any,contains,991005369809702656","Catalog Record")</f>
        <v>Catalog Record</v>
      </c>
      <c r="AT563" s="6" t="str">
        <f>HYPERLINK("http://www.worldcat.org/oclc/2475521","WorldCat Record")</f>
        <v>WorldCat Record</v>
      </c>
      <c r="AU563" s="3" t="s">
        <v>6640</v>
      </c>
      <c r="AV563" s="3" t="s">
        <v>6641</v>
      </c>
      <c r="AW563" s="3" t="s">
        <v>6642</v>
      </c>
      <c r="AX563" s="3" t="s">
        <v>6642</v>
      </c>
      <c r="AY563" s="3" t="s">
        <v>6643</v>
      </c>
      <c r="AZ563" s="3" t="s">
        <v>75</v>
      </c>
      <c r="BC563" s="3" t="s">
        <v>6644</v>
      </c>
      <c r="BD563" s="3" t="s">
        <v>6645</v>
      </c>
    </row>
    <row r="564" spans="1:56" ht="44.25" customHeight="1" x14ac:dyDescent="0.25">
      <c r="A564" s="7" t="s">
        <v>61</v>
      </c>
      <c r="B564" s="2" t="s">
        <v>6646</v>
      </c>
      <c r="C564" s="2" t="s">
        <v>6647</v>
      </c>
      <c r="D564" s="2" t="s">
        <v>6648</v>
      </c>
      <c r="F564" s="3" t="s">
        <v>61</v>
      </c>
      <c r="G564" s="3" t="s">
        <v>60</v>
      </c>
      <c r="H564" s="3" t="s">
        <v>61</v>
      </c>
      <c r="I564" s="3" t="s">
        <v>61</v>
      </c>
      <c r="J564" s="3" t="s">
        <v>62</v>
      </c>
      <c r="K564" s="2" t="s">
        <v>6649</v>
      </c>
      <c r="L564" s="2" t="s">
        <v>6650</v>
      </c>
      <c r="M564" s="3" t="s">
        <v>2281</v>
      </c>
      <c r="O564" s="3" t="s">
        <v>114</v>
      </c>
      <c r="P564" s="3" t="s">
        <v>1439</v>
      </c>
      <c r="R564" s="3" t="s">
        <v>68</v>
      </c>
      <c r="S564" s="4">
        <v>9</v>
      </c>
      <c r="T564" s="4">
        <v>9</v>
      </c>
      <c r="U564" s="5" t="s">
        <v>6651</v>
      </c>
      <c r="V564" s="5" t="s">
        <v>6651</v>
      </c>
      <c r="W564" s="5" t="s">
        <v>5690</v>
      </c>
      <c r="X564" s="5" t="s">
        <v>5690</v>
      </c>
      <c r="Y564" s="4">
        <v>667</v>
      </c>
      <c r="Z564" s="4">
        <v>593</v>
      </c>
      <c r="AA564" s="4">
        <v>618</v>
      </c>
      <c r="AB564" s="4">
        <v>8</v>
      </c>
      <c r="AC564" s="4">
        <v>8</v>
      </c>
      <c r="AD564" s="4">
        <v>29</v>
      </c>
      <c r="AE564" s="4">
        <v>30</v>
      </c>
      <c r="AF564" s="4">
        <v>9</v>
      </c>
      <c r="AG564" s="4">
        <v>10</v>
      </c>
      <c r="AH564" s="4">
        <v>8</v>
      </c>
      <c r="AI564" s="4">
        <v>8</v>
      </c>
      <c r="AJ564" s="4">
        <v>12</v>
      </c>
      <c r="AK564" s="4">
        <v>12</v>
      </c>
      <c r="AL564" s="4">
        <v>7</v>
      </c>
      <c r="AM564" s="4">
        <v>7</v>
      </c>
      <c r="AN564" s="4">
        <v>0</v>
      </c>
      <c r="AO564" s="4">
        <v>0</v>
      </c>
      <c r="AP564" s="3" t="s">
        <v>61</v>
      </c>
      <c r="AQ564" s="3" t="s">
        <v>59</v>
      </c>
      <c r="AR564" s="6" t="str">
        <f>HYPERLINK("http://catalog.hathitrust.org/Record/000086795","HathiTrust Record")</f>
        <v>HathiTrust Record</v>
      </c>
      <c r="AS564" s="6" t="str">
        <f>HYPERLINK("https://creighton-primo.hosted.exlibrisgroup.com/primo-explore/search?tab=default_tab&amp;search_scope=EVERYTHING&amp;vid=01CRU&amp;lang=en_US&amp;offset=0&amp;query=any,contains,991004178239702656","Catalog Record")</f>
        <v>Catalog Record</v>
      </c>
      <c r="AT564" s="6" t="str">
        <f>HYPERLINK("http://www.worldcat.org/oclc/2598190","WorldCat Record")</f>
        <v>WorldCat Record</v>
      </c>
      <c r="AU564" s="3" t="s">
        <v>6652</v>
      </c>
      <c r="AV564" s="3" t="s">
        <v>6653</v>
      </c>
      <c r="AW564" s="3" t="s">
        <v>6654</v>
      </c>
      <c r="AX564" s="3" t="s">
        <v>6654</v>
      </c>
      <c r="AY564" s="3" t="s">
        <v>6655</v>
      </c>
      <c r="AZ564" s="3" t="s">
        <v>75</v>
      </c>
      <c r="BB564" s="3" t="s">
        <v>6656</v>
      </c>
      <c r="BC564" s="3" t="s">
        <v>6657</v>
      </c>
      <c r="BD564" s="3" t="s">
        <v>6658</v>
      </c>
    </row>
    <row r="565" spans="1:56" ht="44.25" customHeight="1" x14ac:dyDescent="0.25">
      <c r="A565" s="7" t="s">
        <v>61</v>
      </c>
      <c r="B565" s="2" t="s">
        <v>6659</v>
      </c>
      <c r="C565" s="2" t="s">
        <v>6660</v>
      </c>
      <c r="D565" s="2" t="s">
        <v>6661</v>
      </c>
      <c r="F565" s="3" t="s">
        <v>61</v>
      </c>
      <c r="G565" s="3" t="s">
        <v>60</v>
      </c>
      <c r="H565" s="3" t="s">
        <v>61</v>
      </c>
      <c r="I565" s="3" t="s">
        <v>61</v>
      </c>
      <c r="J565" s="3" t="s">
        <v>62</v>
      </c>
      <c r="K565" s="2" t="s">
        <v>6662</v>
      </c>
      <c r="L565" s="2" t="s">
        <v>6663</v>
      </c>
      <c r="M565" s="3" t="s">
        <v>4440</v>
      </c>
      <c r="O565" s="3" t="s">
        <v>114</v>
      </c>
      <c r="P565" s="3" t="s">
        <v>235</v>
      </c>
      <c r="R565" s="3" t="s">
        <v>68</v>
      </c>
      <c r="S565" s="4">
        <v>2</v>
      </c>
      <c r="T565" s="4">
        <v>2</v>
      </c>
      <c r="U565" s="5" t="s">
        <v>6585</v>
      </c>
      <c r="V565" s="5" t="s">
        <v>6585</v>
      </c>
      <c r="W565" s="5" t="s">
        <v>4993</v>
      </c>
      <c r="X565" s="5" t="s">
        <v>4993</v>
      </c>
      <c r="Y565" s="4">
        <v>188</v>
      </c>
      <c r="Z565" s="4">
        <v>184</v>
      </c>
      <c r="AA565" s="4">
        <v>201</v>
      </c>
      <c r="AB565" s="4">
        <v>5</v>
      </c>
      <c r="AC565" s="4">
        <v>6</v>
      </c>
      <c r="AD565" s="4">
        <v>9</v>
      </c>
      <c r="AE565" s="4">
        <v>11</v>
      </c>
      <c r="AF565" s="4">
        <v>2</v>
      </c>
      <c r="AG565" s="4">
        <v>2</v>
      </c>
      <c r="AH565" s="4">
        <v>1</v>
      </c>
      <c r="AI565" s="4">
        <v>2</v>
      </c>
      <c r="AJ565" s="4">
        <v>4</v>
      </c>
      <c r="AK565" s="4">
        <v>4</v>
      </c>
      <c r="AL565" s="4">
        <v>4</v>
      </c>
      <c r="AM565" s="4">
        <v>5</v>
      </c>
      <c r="AN565" s="4">
        <v>0</v>
      </c>
      <c r="AO565" s="4">
        <v>0</v>
      </c>
      <c r="AP565" s="3" t="s">
        <v>59</v>
      </c>
      <c r="AQ565" s="3" t="s">
        <v>61</v>
      </c>
      <c r="AR565" s="6" t="str">
        <f>HYPERLINK("http://catalog.hathitrust.org/Record/006534959","HathiTrust Record")</f>
        <v>HathiTrust Record</v>
      </c>
      <c r="AS565" s="6" t="str">
        <f>HYPERLINK("https://creighton-primo.hosted.exlibrisgroup.com/primo-explore/search?tab=default_tab&amp;search_scope=EVERYTHING&amp;vid=01CRU&amp;lang=en_US&amp;offset=0&amp;query=any,contains,991003245329702656","Catalog Record")</f>
        <v>Catalog Record</v>
      </c>
      <c r="AT565" s="6" t="str">
        <f>HYPERLINK("http://www.worldcat.org/oclc/769012","WorldCat Record")</f>
        <v>WorldCat Record</v>
      </c>
      <c r="AU565" s="3" t="s">
        <v>6664</v>
      </c>
      <c r="AV565" s="3" t="s">
        <v>6665</v>
      </c>
      <c r="AW565" s="3" t="s">
        <v>6666</v>
      </c>
      <c r="AX565" s="3" t="s">
        <v>6666</v>
      </c>
      <c r="AY565" s="3" t="s">
        <v>6667</v>
      </c>
      <c r="AZ565" s="3" t="s">
        <v>75</v>
      </c>
      <c r="BC565" s="3" t="s">
        <v>6668</v>
      </c>
      <c r="BD565" s="3" t="s">
        <v>6669</v>
      </c>
    </row>
    <row r="566" spans="1:56" ht="44.25" customHeight="1" x14ac:dyDescent="0.25">
      <c r="A566" s="7" t="s">
        <v>61</v>
      </c>
      <c r="B566" s="2" t="s">
        <v>6670</v>
      </c>
      <c r="C566" s="2" t="s">
        <v>6671</v>
      </c>
      <c r="D566" s="2" t="s">
        <v>6672</v>
      </c>
      <c r="F566" s="3" t="s">
        <v>61</v>
      </c>
      <c r="G566" s="3" t="s">
        <v>60</v>
      </c>
      <c r="H566" s="3" t="s">
        <v>61</v>
      </c>
      <c r="I566" s="3" t="s">
        <v>61</v>
      </c>
      <c r="J566" s="3" t="s">
        <v>62</v>
      </c>
      <c r="K566" s="2" t="s">
        <v>6673</v>
      </c>
      <c r="L566" s="2" t="s">
        <v>6674</v>
      </c>
      <c r="M566" s="3" t="s">
        <v>1319</v>
      </c>
      <c r="O566" s="3" t="s">
        <v>114</v>
      </c>
      <c r="P566" s="3" t="s">
        <v>649</v>
      </c>
      <c r="Q566" s="2" t="s">
        <v>6675</v>
      </c>
      <c r="R566" s="3" t="s">
        <v>68</v>
      </c>
      <c r="S566" s="4">
        <v>7</v>
      </c>
      <c r="T566" s="4">
        <v>7</v>
      </c>
      <c r="U566" s="5" t="s">
        <v>3232</v>
      </c>
      <c r="V566" s="5" t="s">
        <v>3232</v>
      </c>
      <c r="W566" s="5" t="s">
        <v>6573</v>
      </c>
      <c r="X566" s="5" t="s">
        <v>6573</v>
      </c>
      <c r="Y566" s="4">
        <v>455</v>
      </c>
      <c r="Z566" s="4">
        <v>410</v>
      </c>
      <c r="AA566" s="4">
        <v>798</v>
      </c>
      <c r="AB566" s="4">
        <v>4</v>
      </c>
      <c r="AC566" s="4">
        <v>7</v>
      </c>
      <c r="AD566" s="4">
        <v>21</v>
      </c>
      <c r="AE566" s="4">
        <v>42</v>
      </c>
      <c r="AF566" s="4">
        <v>12</v>
      </c>
      <c r="AG566" s="4">
        <v>19</v>
      </c>
      <c r="AH566" s="4">
        <v>3</v>
      </c>
      <c r="AI566" s="4">
        <v>8</v>
      </c>
      <c r="AJ566" s="4">
        <v>8</v>
      </c>
      <c r="AK566" s="4">
        <v>19</v>
      </c>
      <c r="AL566" s="4">
        <v>3</v>
      </c>
      <c r="AM566" s="4">
        <v>6</v>
      </c>
      <c r="AN566" s="4">
        <v>0</v>
      </c>
      <c r="AO566" s="4">
        <v>0</v>
      </c>
      <c r="AP566" s="3" t="s">
        <v>61</v>
      </c>
      <c r="AQ566" s="3" t="s">
        <v>59</v>
      </c>
      <c r="AR566" s="6" t="str">
        <f>HYPERLINK("http://catalog.hathitrust.org/Record/000441871","HathiTrust Record")</f>
        <v>HathiTrust Record</v>
      </c>
      <c r="AS566" s="6" t="str">
        <f>HYPERLINK("https://creighton-primo.hosted.exlibrisgroup.com/primo-explore/search?tab=default_tab&amp;search_scope=EVERYTHING&amp;vid=01CRU&amp;lang=en_US&amp;offset=0&amp;query=any,contains,991002668469702656","Catalog Record")</f>
        <v>Catalog Record</v>
      </c>
      <c r="AT566" s="6" t="str">
        <f>HYPERLINK("http://www.worldcat.org/oclc/394323","WorldCat Record")</f>
        <v>WorldCat Record</v>
      </c>
      <c r="AU566" s="3" t="s">
        <v>6676</v>
      </c>
      <c r="AV566" s="3" t="s">
        <v>6677</v>
      </c>
      <c r="AW566" s="3" t="s">
        <v>6678</v>
      </c>
      <c r="AX566" s="3" t="s">
        <v>6678</v>
      </c>
      <c r="AY566" s="3" t="s">
        <v>6679</v>
      </c>
      <c r="AZ566" s="3" t="s">
        <v>75</v>
      </c>
      <c r="BC566" s="3" t="s">
        <v>6680</v>
      </c>
      <c r="BD566" s="3" t="s">
        <v>6681</v>
      </c>
    </row>
    <row r="567" spans="1:56" ht="44.25" customHeight="1" x14ac:dyDescent="0.25">
      <c r="A567" s="7" t="s">
        <v>61</v>
      </c>
      <c r="B567" s="2" t="s">
        <v>6682</v>
      </c>
      <c r="C567" s="2" t="s">
        <v>6683</v>
      </c>
      <c r="D567" s="2" t="s">
        <v>6684</v>
      </c>
      <c r="F567" s="3" t="s">
        <v>61</v>
      </c>
      <c r="G567" s="3" t="s">
        <v>60</v>
      </c>
      <c r="H567" s="3" t="s">
        <v>61</v>
      </c>
      <c r="I567" s="3" t="s">
        <v>61</v>
      </c>
      <c r="J567" s="3" t="s">
        <v>62</v>
      </c>
      <c r="K567" s="2" t="s">
        <v>6673</v>
      </c>
      <c r="L567" s="2" t="s">
        <v>6685</v>
      </c>
      <c r="M567" s="3" t="s">
        <v>6548</v>
      </c>
      <c r="O567" s="3" t="s">
        <v>114</v>
      </c>
      <c r="P567" s="3" t="s">
        <v>649</v>
      </c>
      <c r="R567" s="3" t="s">
        <v>68</v>
      </c>
      <c r="S567" s="4">
        <v>3</v>
      </c>
      <c r="T567" s="4">
        <v>3</v>
      </c>
      <c r="U567" s="5" t="s">
        <v>3232</v>
      </c>
      <c r="V567" s="5" t="s">
        <v>3232</v>
      </c>
      <c r="W567" s="5" t="s">
        <v>6686</v>
      </c>
      <c r="X567" s="5" t="s">
        <v>6686</v>
      </c>
      <c r="Y567" s="4">
        <v>625</v>
      </c>
      <c r="Z567" s="4">
        <v>561</v>
      </c>
      <c r="AA567" s="4">
        <v>889</v>
      </c>
      <c r="AB567" s="4">
        <v>7</v>
      </c>
      <c r="AC567" s="4">
        <v>9</v>
      </c>
      <c r="AD567" s="4">
        <v>23</v>
      </c>
      <c r="AE567" s="4">
        <v>32</v>
      </c>
      <c r="AF567" s="4">
        <v>10</v>
      </c>
      <c r="AG567" s="4">
        <v>12</v>
      </c>
      <c r="AH567" s="4">
        <v>3</v>
      </c>
      <c r="AI567" s="4">
        <v>5</v>
      </c>
      <c r="AJ567" s="4">
        <v>9</v>
      </c>
      <c r="AK567" s="4">
        <v>14</v>
      </c>
      <c r="AL567" s="4">
        <v>5</v>
      </c>
      <c r="AM567" s="4">
        <v>7</v>
      </c>
      <c r="AN567" s="4">
        <v>1</v>
      </c>
      <c r="AO567" s="4">
        <v>1</v>
      </c>
      <c r="AP567" s="3" t="s">
        <v>61</v>
      </c>
      <c r="AQ567" s="3" t="s">
        <v>61</v>
      </c>
      <c r="AS567" s="6" t="str">
        <f>HYPERLINK("https://creighton-primo.hosted.exlibrisgroup.com/primo-explore/search?tab=default_tab&amp;search_scope=EVERYTHING&amp;vid=01CRU&amp;lang=en_US&amp;offset=0&amp;query=any,contains,991002668389702656","Catalog Record")</f>
        <v>Catalog Record</v>
      </c>
      <c r="AT567" s="6" t="str">
        <f>HYPERLINK("http://www.worldcat.org/oclc/394312","WorldCat Record")</f>
        <v>WorldCat Record</v>
      </c>
      <c r="AU567" s="3" t="s">
        <v>6687</v>
      </c>
      <c r="AV567" s="3" t="s">
        <v>6688</v>
      </c>
      <c r="AW567" s="3" t="s">
        <v>6689</v>
      </c>
      <c r="AX567" s="3" t="s">
        <v>6689</v>
      </c>
      <c r="AY567" s="3" t="s">
        <v>6690</v>
      </c>
      <c r="AZ567" s="3" t="s">
        <v>75</v>
      </c>
      <c r="BC567" s="3" t="s">
        <v>6691</v>
      </c>
      <c r="BD567" s="3" t="s">
        <v>6692</v>
      </c>
    </row>
    <row r="568" spans="1:56" ht="44.25" customHeight="1" x14ac:dyDescent="0.25">
      <c r="A568" s="7" t="s">
        <v>61</v>
      </c>
      <c r="B568" s="2" t="s">
        <v>6693</v>
      </c>
      <c r="C568" s="2" t="s">
        <v>6694</v>
      </c>
      <c r="D568" s="2" t="s">
        <v>6695</v>
      </c>
      <c r="F568" s="3" t="s">
        <v>61</v>
      </c>
      <c r="G568" s="3" t="s">
        <v>60</v>
      </c>
      <c r="H568" s="3" t="s">
        <v>61</v>
      </c>
      <c r="I568" s="3" t="s">
        <v>61</v>
      </c>
      <c r="J568" s="3" t="s">
        <v>62</v>
      </c>
      <c r="K568" s="2" t="s">
        <v>6696</v>
      </c>
      <c r="L568" s="2" t="s">
        <v>6697</v>
      </c>
      <c r="M568" s="3" t="s">
        <v>422</v>
      </c>
      <c r="O568" s="3" t="s">
        <v>114</v>
      </c>
      <c r="P568" s="3" t="s">
        <v>437</v>
      </c>
      <c r="R568" s="3" t="s">
        <v>68</v>
      </c>
      <c r="S568" s="4">
        <v>3</v>
      </c>
      <c r="T568" s="4">
        <v>3</v>
      </c>
      <c r="U568" s="5" t="s">
        <v>1857</v>
      </c>
      <c r="V568" s="5" t="s">
        <v>1857</v>
      </c>
      <c r="W568" s="5" t="s">
        <v>6698</v>
      </c>
      <c r="X568" s="5" t="s">
        <v>6698</v>
      </c>
      <c r="Y568" s="4">
        <v>80</v>
      </c>
      <c r="Z568" s="4">
        <v>67</v>
      </c>
      <c r="AA568" s="4">
        <v>73</v>
      </c>
      <c r="AB568" s="4">
        <v>2</v>
      </c>
      <c r="AC568" s="4">
        <v>2</v>
      </c>
      <c r="AD568" s="4">
        <v>7</v>
      </c>
      <c r="AE568" s="4">
        <v>7</v>
      </c>
      <c r="AF568" s="4">
        <v>1</v>
      </c>
      <c r="AG568" s="4">
        <v>1</v>
      </c>
      <c r="AH568" s="4">
        <v>2</v>
      </c>
      <c r="AI568" s="4">
        <v>2</v>
      </c>
      <c r="AJ568" s="4">
        <v>5</v>
      </c>
      <c r="AK568" s="4">
        <v>5</v>
      </c>
      <c r="AL568" s="4">
        <v>1</v>
      </c>
      <c r="AM568" s="4">
        <v>1</v>
      </c>
      <c r="AN568" s="4">
        <v>0</v>
      </c>
      <c r="AO568" s="4">
        <v>0</v>
      </c>
      <c r="AP568" s="3" t="s">
        <v>61</v>
      </c>
      <c r="AQ568" s="3" t="s">
        <v>61</v>
      </c>
      <c r="AS568" s="6" t="str">
        <f>HYPERLINK("https://creighton-primo.hosted.exlibrisgroup.com/primo-explore/search?tab=default_tab&amp;search_scope=EVERYTHING&amp;vid=01CRU&amp;lang=en_US&amp;offset=0&amp;query=any,contains,991002861899702656","Catalog Record")</f>
        <v>Catalog Record</v>
      </c>
      <c r="AT568" s="6" t="str">
        <f>HYPERLINK("http://www.worldcat.org/oclc/37721282","WorldCat Record")</f>
        <v>WorldCat Record</v>
      </c>
      <c r="AU568" s="3" t="s">
        <v>6699</v>
      </c>
      <c r="AV568" s="3" t="s">
        <v>6700</v>
      </c>
      <c r="AW568" s="3" t="s">
        <v>6701</v>
      </c>
      <c r="AX568" s="3" t="s">
        <v>6701</v>
      </c>
      <c r="AY568" s="3" t="s">
        <v>6702</v>
      </c>
      <c r="AZ568" s="3" t="s">
        <v>75</v>
      </c>
      <c r="BB568" s="3" t="s">
        <v>6703</v>
      </c>
      <c r="BC568" s="3" t="s">
        <v>6704</v>
      </c>
      <c r="BD568" s="3" t="s">
        <v>6705</v>
      </c>
    </row>
    <row r="569" spans="1:56" ht="44.25" customHeight="1" x14ac:dyDescent="0.25">
      <c r="A569" s="7" t="s">
        <v>61</v>
      </c>
      <c r="B569" s="2" t="s">
        <v>6706</v>
      </c>
      <c r="C569" s="2" t="s">
        <v>6707</v>
      </c>
      <c r="D569" s="2" t="s">
        <v>6708</v>
      </c>
      <c r="F569" s="3" t="s">
        <v>61</v>
      </c>
      <c r="G569" s="3" t="s">
        <v>60</v>
      </c>
      <c r="H569" s="3" t="s">
        <v>61</v>
      </c>
      <c r="I569" s="3" t="s">
        <v>61</v>
      </c>
      <c r="J569" s="3" t="s">
        <v>62</v>
      </c>
      <c r="K569" s="2" t="s">
        <v>6709</v>
      </c>
      <c r="L569" s="2" t="s">
        <v>6710</v>
      </c>
      <c r="M569" s="3" t="s">
        <v>884</v>
      </c>
      <c r="O569" s="3" t="s">
        <v>114</v>
      </c>
      <c r="P569" s="3" t="s">
        <v>235</v>
      </c>
      <c r="Q569" s="2" t="s">
        <v>6711</v>
      </c>
      <c r="R569" s="3" t="s">
        <v>68</v>
      </c>
      <c r="S569" s="4">
        <v>2</v>
      </c>
      <c r="T569" s="4">
        <v>2</v>
      </c>
      <c r="U569" s="5" t="s">
        <v>6712</v>
      </c>
      <c r="V569" s="5" t="s">
        <v>6712</v>
      </c>
      <c r="W569" s="5" t="s">
        <v>5535</v>
      </c>
      <c r="X569" s="5" t="s">
        <v>5535</v>
      </c>
      <c r="Y569" s="4">
        <v>230</v>
      </c>
      <c r="Z569" s="4">
        <v>213</v>
      </c>
      <c r="AA569" s="4">
        <v>484</v>
      </c>
      <c r="AB569" s="4">
        <v>4</v>
      </c>
      <c r="AC569" s="4">
        <v>6</v>
      </c>
      <c r="AD569" s="4">
        <v>18</v>
      </c>
      <c r="AE569" s="4">
        <v>29</v>
      </c>
      <c r="AF569" s="4">
        <v>8</v>
      </c>
      <c r="AG569" s="4">
        <v>11</v>
      </c>
      <c r="AH569" s="4">
        <v>6</v>
      </c>
      <c r="AI569" s="4">
        <v>9</v>
      </c>
      <c r="AJ569" s="4">
        <v>7</v>
      </c>
      <c r="AK569" s="4">
        <v>12</v>
      </c>
      <c r="AL569" s="4">
        <v>3</v>
      </c>
      <c r="AM569" s="4">
        <v>5</v>
      </c>
      <c r="AN569" s="4">
        <v>0</v>
      </c>
      <c r="AO569" s="4">
        <v>0</v>
      </c>
      <c r="AP569" s="3" t="s">
        <v>61</v>
      </c>
      <c r="AQ569" s="3" t="s">
        <v>59</v>
      </c>
      <c r="AR569" s="6" t="str">
        <f>HYPERLINK("http://catalog.hathitrust.org/Record/000441875","HathiTrust Record")</f>
        <v>HathiTrust Record</v>
      </c>
      <c r="AS569" s="6" t="str">
        <f>HYPERLINK("https://creighton-primo.hosted.exlibrisgroup.com/primo-explore/search?tab=default_tab&amp;search_scope=EVERYTHING&amp;vid=01CRU&amp;lang=en_US&amp;offset=0&amp;query=any,contains,991000629179702656","Catalog Record")</f>
        <v>Catalog Record</v>
      </c>
      <c r="AT569" s="6" t="str">
        <f>HYPERLINK("http://www.worldcat.org/oclc/105372","WorldCat Record")</f>
        <v>WorldCat Record</v>
      </c>
      <c r="AU569" s="3" t="s">
        <v>6713</v>
      </c>
      <c r="AV569" s="3" t="s">
        <v>6714</v>
      </c>
      <c r="AW569" s="3" t="s">
        <v>6715</v>
      </c>
      <c r="AX569" s="3" t="s">
        <v>6715</v>
      </c>
      <c r="AY569" s="3" t="s">
        <v>6716</v>
      </c>
      <c r="AZ569" s="3" t="s">
        <v>75</v>
      </c>
      <c r="BB569" s="3" t="s">
        <v>6717</v>
      </c>
      <c r="BC569" s="3" t="s">
        <v>6718</v>
      </c>
      <c r="BD569" s="3" t="s">
        <v>6719</v>
      </c>
    </row>
    <row r="570" spans="1:56" ht="44.25" customHeight="1" x14ac:dyDescent="0.25">
      <c r="A570" s="7" t="s">
        <v>61</v>
      </c>
      <c r="B570" s="2" t="s">
        <v>6720</v>
      </c>
      <c r="C570" s="2" t="s">
        <v>6721</v>
      </c>
      <c r="D570" s="2" t="s">
        <v>6722</v>
      </c>
      <c r="F570" s="3" t="s">
        <v>61</v>
      </c>
      <c r="G570" s="3" t="s">
        <v>60</v>
      </c>
      <c r="H570" s="3" t="s">
        <v>61</v>
      </c>
      <c r="I570" s="3" t="s">
        <v>61</v>
      </c>
      <c r="J570" s="3" t="s">
        <v>62</v>
      </c>
      <c r="K570" s="2" t="s">
        <v>6723</v>
      </c>
      <c r="L570" s="2" t="s">
        <v>6724</v>
      </c>
      <c r="M570" s="3" t="s">
        <v>1507</v>
      </c>
      <c r="O570" s="3" t="s">
        <v>114</v>
      </c>
      <c r="P570" s="3" t="s">
        <v>364</v>
      </c>
      <c r="Q570" s="2" t="s">
        <v>6725</v>
      </c>
      <c r="R570" s="3" t="s">
        <v>68</v>
      </c>
      <c r="S570" s="4">
        <v>9</v>
      </c>
      <c r="T570" s="4">
        <v>9</v>
      </c>
      <c r="U570" s="5" t="s">
        <v>6726</v>
      </c>
      <c r="V570" s="5" t="s">
        <v>6726</v>
      </c>
      <c r="W570" s="5" t="s">
        <v>6115</v>
      </c>
      <c r="X570" s="5" t="s">
        <v>6115</v>
      </c>
      <c r="Y570" s="4">
        <v>814</v>
      </c>
      <c r="Z570" s="4">
        <v>706</v>
      </c>
      <c r="AA570" s="4">
        <v>707</v>
      </c>
      <c r="AB570" s="4">
        <v>9</v>
      </c>
      <c r="AC570" s="4">
        <v>9</v>
      </c>
      <c r="AD570" s="4">
        <v>37</v>
      </c>
      <c r="AE570" s="4">
        <v>37</v>
      </c>
      <c r="AF570" s="4">
        <v>13</v>
      </c>
      <c r="AG570" s="4">
        <v>13</v>
      </c>
      <c r="AH570" s="4">
        <v>8</v>
      </c>
      <c r="AI570" s="4">
        <v>8</v>
      </c>
      <c r="AJ570" s="4">
        <v>21</v>
      </c>
      <c r="AK570" s="4">
        <v>21</v>
      </c>
      <c r="AL570" s="4">
        <v>6</v>
      </c>
      <c r="AM570" s="4">
        <v>6</v>
      </c>
      <c r="AN570" s="4">
        <v>0</v>
      </c>
      <c r="AO570" s="4">
        <v>0</v>
      </c>
      <c r="AP570" s="3" t="s">
        <v>61</v>
      </c>
      <c r="AQ570" s="3" t="s">
        <v>59</v>
      </c>
      <c r="AR570" s="6" t="str">
        <f>HYPERLINK("http://catalog.hathitrust.org/Record/000445160","HathiTrust Record")</f>
        <v>HathiTrust Record</v>
      </c>
      <c r="AS570" s="6" t="str">
        <f>HYPERLINK("https://creighton-primo.hosted.exlibrisgroup.com/primo-explore/search?tab=default_tab&amp;search_scope=EVERYTHING&amp;vid=01CRU&amp;lang=en_US&amp;offset=0&amp;query=any,contains,991003334239702656","Catalog Record")</f>
        <v>Catalog Record</v>
      </c>
      <c r="AT570" s="6" t="str">
        <f>HYPERLINK("http://www.worldcat.org/oclc/865969","WorldCat Record")</f>
        <v>WorldCat Record</v>
      </c>
      <c r="AU570" s="3" t="s">
        <v>6727</v>
      </c>
      <c r="AV570" s="3" t="s">
        <v>6728</v>
      </c>
      <c r="AW570" s="3" t="s">
        <v>6729</v>
      </c>
      <c r="AX570" s="3" t="s">
        <v>6729</v>
      </c>
      <c r="AY570" s="3" t="s">
        <v>6730</v>
      </c>
      <c r="AZ570" s="3" t="s">
        <v>75</v>
      </c>
      <c r="BB570" s="3" t="s">
        <v>6731</v>
      </c>
      <c r="BC570" s="3" t="s">
        <v>6732</v>
      </c>
      <c r="BD570" s="3" t="s">
        <v>6733</v>
      </c>
    </row>
    <row r="571" spans="1:56" ht="44.25" customHeight="1" x14ac:dyDescent="0.25">
      <c r="A571" s="7" t="s">
        <v>61</v>
      </c>
      <c r="B571" s="2" t="s">
        <v>6734</v>
      </c>
      <c r="C571" s="2" t="s">
        <v>6735</v>
      </c>
      <c r="D571" s="2" t="s">
        <v>6736</v>
      </c>
      <c r="F571" s="3" t="s">
        <v>61</v>
      </c>
      <c r="G571" s="3" t="s">
        <v>60</v>
      </c>
      <c r="H571" s="3" t="s">
        <v>61</v>
      </c>
      <c r="I571" s="3" t="s">
        <v>61</v>
      </c>
      <c r="J571" s="3" t="s">
        <v>62</v>
      </c>
      <c r="K571" s="2" t="s">
        <v>5173</v>
      </c>
      <c r="L571" s="2" t="s">
        <v>6737</v>
      </c>
      <c r="M571" s="3" t="s">
        <v>263</v>
      </c>
      <c r="O571" s="3" t="s">
        <v>114</v>
      </c>
      <c r="P571" s="3" t="s">
        <v>192</v>
      </c>
      <c r="R571" s="3" t="s">
        <v>68</v>
      </c>
      <c r="S571" s="4">
        <v>4</v>
      </c>
      <c r="T571" s="4">
        <v>4</v>
      </c>
      <c r="U571" s="5" t="s">
        <v>193</v>
      </c>
      <c r="V571" s="5" t="s">
        <v>193</v>
      </c>
      <c r="W571" s="5" t="s">
        <v>5728</v>
      </c>
      <c r="X571" s="5" t="s">
        <v>5728</v>
      </c>
      <c r="Y571" s="4">
        <v>607</v>
      </c>
      <c r="Z571" s="4">
        <v>431</v>
      </c>
      <c r="AA571" s="4">
        <v>432</v>
      </c>
      <c r="AB571" s="4">
        <v>3</v>
      </c>
      <c r="AC571" s="4">
        <v>3</v>
      </c>
      <c r="AD571" s="4">
        <v>22</v>
      </c>
      <c r="AE571" s="4">
        <v>22</v>
      </c>
      <c r="AF571" s="4">
        <v>11</v>
      </c>
      <c r="AG571" s="4">
        <v>11</v>
      </c>
      <c r="AH571" s="4">
        <v>5</v>
      </c>
      <c r="AI571" s="4">
        <v>5</v>
      </c>
      <c r="AJ571" s="4">
        <v>13</v>
      </c>
      <c r="AK571" s="4">
        <v>13</v>
      </c>
      <c r="AL571" s="4">
        <v>2</v>
      </c>
      <c r="AM571" s="4">
        <v>2</v>
      </c>
      <c r="AN571" s="4">
        <v>0</v>
      </c>
      <c r="AO571" s="4">
        <v>0</v>
      </c>
      <c r="AP571" s="3" t="s">
        <v>61</v>
      </c>
      <c r="AQ571" s="3" t="s">
        <v>59</v>
      </c>
      <c r="AR571" s="6" t="str">
        <f>HYPERLINK("http://catalog.hathitrust.org/Record/000188645","HathiTrust Record")</f>
        <v>HathiTrust Record</v>
      </c>
      <c r="AS571" s="6" t="str">
        <f>HYPERLINK("https://creighton-primo.hosted.exlibrisgroup.com/primo-explore/search?tab=default_tab&amp;search_scope=EVERYTHING&amp;vid=01CRU&amp;lang=en_US&amp;offset=0&amp;query=any,contains,991005212509702656","Catalog Record")</f>
        <v>Catalog Record</v>
      </c>
      <c r="AT571" s="6" t="str">
        <f>HYPERLINK("http://www.worldcat.org/oclc/8170511","WorldCat Record")</f>
        <v>WorldCat Record</v>
      </c>
      <c r="AU571" s="3" t="s">
        <v>6738</v>
      </c>
      <c r="AV571" s="3" t="s">
        <v>6739</v>
      </c>
      <c r="AW571" s="3" t="s">
        <v>6740</v>
      </c>
      <c r="AX571" s="3" t="s">
        <v>6740</v>
      </c>
      <c r="AY571" s="3" t="s">
        <v>6741</v>
      </c>
      <c r="AZ571" s="3" t="s">
        <v>75</v>
      </c>
      <c r="BB571" s="3" t="s">
        <v>6742</v>
      </c>
      <c r="BC571" s="3" t="s">
        <v>6743</v>
      </c>
      <c r="BD571" s="3" t="s">
        <v>6744</v>
      </c>
    </row>
    <row r="572" spans="1:56" ht="44.25" customHeight="1" x14ac:dyDescent="0.25">
      <c r="A572" s="7" t="s">
        <v>61</v>
      </c>
      <c r="B572" s="2" t="s">
        <v>6745</v>
      </c>
      <c r="C572" s="2" t="s">
        <v>6746</v>
      </c>
      <c r="D572" s="2" t="s">
        <v>6747</v>
      </c>
      <c r="F572" s="3" t="s">
        <v>61</v>
      </c>
      <c r="G572" s="3" t="s">
        <v>60</v>
      </c>
      <c r="H572" s="3" t="s">
        <v>61</v>
      </c>
      <c r="I572" s="3" t="s">
        <v>61</v>
      </c>
      <c r="J572" s="3" t="s">
        <v>62</v>
      </c>
      <c r="K572" s="2" t="s">
        <v>6748</v>
      </c>
      <c r="L572" s="2" t="s">
        <v>6749</v>
      </c>
      <c r="M572" s="3" t="s">
        <v>451</v>
      </c>
      <c r="O572" s="3" t="s">
        <v>114</v>
      </c>
      <c r="P572" s="3" t="s">
        <v>115</v>
      </c>
      <c r="Q572" s="2" t="s">
        <v>6750</v>
      </c>
      <c r="R572" s="3" t="s">
        <v>68</v>
      </c>
      <c r="S572" s="4">
        <v>3</v>
      </c>
      <c r="T572" s="4">
        <v>3</v>
      </c>
      <c r="U572" s="5" t="s">
        <v>4192</v>
      </c>
      <c r="V572" s="5" t="s">
        <v>4192</v>
      </c>
      <c r="W572" s="5" t="s">
        <v>6751</v>
      </c>
      <c r="X572" s="5" t="s">
        <v>6751</v>
      </c>
      <c r="Y572" s="4">
        <v>488</v>
      </c>
      <c r="Z572" s="4">
        <v>367</v>
      </c>
      <c r="AA572" s="4">
        <v>417</v>
      </c>
      <c r="AB572" s="4">
        <v>5</v>
      </c>
      <c r="AC572" s="4">
        <v>5</v>
      </c>
      <c r="AD572" s="4">
        <v>28</v>
      </c>
      <c r="AE572" s="4">
        <v>32</v>
      </c>
      <c r="AF572" s="4">
        <v>12</v>
      </c>
      <c r="AG572" s="4">
        <v>16</v>
      </c>
      <c r="AH572" s="4">
        <v>8</v>
      </c>
      <c r="AI572" s="4">
        <v>9</v>
      </c>
      <c r="AJ572" s="4">
        <v>12</v>
      </c>
      <c r="AK572" s="4">
        <v>12</v>
      </c>
      <c r="AL572" s="4">
        <v>4</v>
      </c>
      <c r="AM572" s="4">
        <v>4</v>
      </c>
      <c r="AN572" s="4">
        <v>0</v>
      </c>
      <c r="AO572" s="4">
        <v>0</v>
      </c>
      <c r="AP572" s="3" t="s">
        <v>61</v>
      </c>
      <c r="AQ572" s="3" t="s">
        <v>59</v>
      </c>
      <c r="AR572" s="6" t="str">
        <f>HYPERLINK("http://catalog.hathitrust.org/Record/003354009","HathiTrust Record")</f>
        <v>HathiTrust Record</v>
      </c>
      <c r="AS572" s="6" t="str">
        <f>HYPERLINK("https://creighton-primo.hosted.exlibrisgroup.com/primo-explore/search?tab=default_tab&amp;search_scope=EVERYTHING&amp;vid=01CRU&amp;lang=en_US&amp;offset=0&amp;query=any,contains,991003509829702656","Catalog Record")</f>
        <v>Catalog Record</v>
      </c>
      <c r="AT572" s="6" t="str">
        <f>HYPERLINK("http://www.worldcat.org/oclc/41018824","WorldCat Record")</f>
        <v>WorldCat Record</v>
      </c>
      <c r="AU572" s="3" t="s">
        <v>6752</v>
      </c>
      <c r="AV572" s="3" t="s">
        <v>6753</v>
      </c>
      <c r="AW572" s="3" t="s">
        <v>6754</v>
      </c>
      <c r="AX572" s="3" t="s">
        <v>6754</v>
      </c>
      <c r="AY572" s="3" t="s">
        <v>6755</v>
      </c>
      <c r="AZ572" s="3" t="s">
        <v>75</v>
      </c>
      <c r="BB572" s="3" t="s">
        <v>6756</v>
      </c>
      <c r="BC572" s="3" t="s">
        <v>6757</v>
      </c>
      <c r="BD572" s="3" t="s">
        <v>6758</v>
      </c>
    </row>
    <row r="573" spans="1:56" ht="44.25" customHeight="1" x14ac:dyDescent="0.25">
      <c r="A573" s="7" t="s">
        <v>61</v>
      </c>
      <c r="B573" s="2" t="s">
        <v>6759</v>
      </c>
      <c r="C573" s="2" t="s">
        <v>6760</v>
      </c>
      <c r="D573" s="2" t="s">
        <v>6761</v>
      </c>
      <c r="E573" s="3" t="s">
        <v>141</v>
      </c>
      <c r="F573" s="3" t="s">
        <v>59</v>
      </c>
      <c r="G573" s="3" t="s">
        <v>60</v>
      </c>
      <c r="H573" s="3" t="s">
        <v>61</v>
      </c>
      <c r="I573" s="3" t="s">
        <v>61</v>
      </c>
      <c r="J573" s="3" t="s">
        <v>62</v>
      </c>
      <c r="K573" s="2" t="s">
        <v>6762</v>
      </c>
      <c r="L573" s="2" t="s">
        <v>6763</v>
      </c>
      <c r="M573" s="3" t="s">
        <v>5599</v>
      </c>
      <c r="O573" s="3" t="s">
        <v>114</v>
      </c>
      <c r="P573" s="3" t="s">
        <v>649</v>
      </c>
      <c r="R573" s="3" t="s">
        <v>68</v>
      </c>
      <c r="S573" s="4">
        <v>3</v>
      </c>
      <c r="T573" s="4">
        <v>5</v>
      </c>
      <c r="U573" s="5" t="s">
        <v>6764</v>
      </c>
      <c r="V573" s="5" t="s">
        <v>6764</v>
      </c>
      <c r="W573" s="5" t="s">
        <v>5535</v>
      </c>
      <c r="X573" s="5" t="s">
        <v>5535</v>
      </c>
      <c r="Y573" s="4">
        <v>185</v>
      </c>
      <c r="Z573" s="4">
        <v>176</v>
      </c>
      <c r="AA573" s="4">
        <v>192</v>
      </c>
      <c r="AB573" s="4">
        <v>1</v>
      </c>
      <c r="AC573" s="4">
        <v>2</v>
      </c>
      <c r="AD573" s="4">
        <v>24</v>
      </c>
      <c r="AE573" s="4">
        <v>25</v>
      </c>
      <c r="AF573" s="4">
        <v>9</v>
      </c>
      <c r="AG573" s="4">
        <v>9</v>
      </c>
      <c r="AH573" s="4">
        <v>5</v>
      </c>
      <c r="AI573" s="4">
        <v>5</v>
      </c>
      <c r="AJ573" s="4">
        <v>18</v>
      </c>
      <c r="AK573" s="4">
        <v>18</v>
      </c>
      <c r="AL573" s="4">
        <v>0</v>
      </c>
      <c r="AM573" s="4">
        <v>1</v>
      </c>
      <c r="AN573" s="4">
        <v>0</v>
      </c>
      <c r="AO573" s="4">
        <v>0</v>
      </c>
      <c r="AP573" s="3" t="s">
        <v>59</v>
      </c>
      <c r="AQ573" s="3" t="s">
        <v>61</v>
      </c>
      <c r="AR573" s="6" t="str">
        <f>HYPERLINK("http://catalog.hathitrust.org/Record/008437994","HathiTrust Record")</f>
        <v>HathiTrust Record</v>
      </c>
      <c r="AS573" s="6" t="str">
        <f>HYPERLINK("https://creighton-primo.hosted.exlibrisgroup.com/primo-explore/search?tab=default_tab&amp;search_scope=EVERYTHING&amp;vid=01CRU&amp;lang=en_US&amp;offset=0&amp;query=any,contains,991003412399702656","Catalog Record")</f>
        <v>Catalog Record</v>
      </c>
      <c r="AT573" s="6" t="str">
        <f>HYPERLINK("http://www.worldcat.org/oclc/950719","WorldCat Record")</f>
        <v>WorldCat Record</v>
      </c>
      <c r="AU573" s="3" t="s">
        <v>6765</v>
      </c>
      <c r="AV573" s="3" t="s">
        <v>6766</v>
      </c>
      <c r="AW573" s="3" t="s">
        <v>6767</v>
      </c>
      <c r="AX573" s="3" t="s">
        <v>6767</v>
      </c>
      <c r="AY573" s="3" t="s">
        <v>6768</v>
      </c>
      <c r="AZ573" s="3" t="s">
        <v>75</v>
      </c>
      <c r="BC573" s="3" t="s">
        <v>6769</v>
      </c>
      <c r="BD573" s="3" t="s">
        <v>6770</v>
      </c>
    </row>
    <row r="574" spans="1:56" ht="44.25" customHeight="1" x14ac:dyDescent="0.25">
      <c r="A574" s="7" t="s">
        <v>61</v>
      </c>
      <c r="B574" s="2" t="s">
        <v>6759</v>
      </c>
      <c r="C574" s="2" t="s">
        <v>6760</v>
      </c>
      <c r="D574" s="2" t="s">
        <v>6761</v>
      </c>
      <c r="E574" s="3" t="s">
        <v>84</v>
      </c>
      <c r="F574" s="3" t="s">
        <v>59</v>
      </c>
      <c r="G574" s="3" t="s">
        <v>60</v>
      </c>
      <c r="H574" s="3" t="s">
        <v>61</v>
      </c>
      <c r="I574" s="3" t="s">
        <v>61</v>
      </c>
      <c r="J574" s="3" t="s">
        <v>62</v>
      </c>
      <c r="K574" s="2" t="s">
        <v>6762</v>
      </c>
      <c r="L574" s="2" t="s">
        <v>6763</v>
      </c>
      <c r="M574" s="3" t="s">
        <v>5599</v>
      </c>
      <c r="O574" s="3" t="s">
        <v>114</v>
      </c>
      <c r="P574" s="3" t="s">
        <v>649</v>
      </c>
      <c r="R574" s="3" t="s">
        <v>68</v>
      </c>
      <c r="S574" s="4">
        <v>2</v>
      </c>
      <c r="T574" s="4">
        <v>5</v>
      </c>
      <c r="U574" s="5" t="s">
        <v>6764</v>
      </c>
      <c r="V574" s="5" t="s">
        <v>6764</v>
      </c>
      <c r="W574" s="5" t="s">
        <v>5535</v>
      </c>
      <c r="X574" s="5" t="s">
        <v>5535</v>
      </c>
      <c r="Y574" s="4">
        <v>185</v>
      </c>
      <c r="Z574" s="4">
        <v>176</v>
      </c>
      <c r="AA574" s="4">
        <v>192</v>
      </c>
      <c r="AB574" s="4">
        <v>1</v>
      </c>
      <c r="AC574" s="4">
        <v>2</v>
      </c>
      <c r="AD574" s="4">
        <v>24</v>
      </c>
      <c r="AE574" s="4">
        <v>25</v>
      </c>
      <c r="AF574" s="4">
        <v>9</v>
      </c>
      <c r="AG574" s="4">
        <v>9</v>
      </c>
      <c r="AH574" s="4">
        <v>5</v>
      </c>
      <c r="AI574" s="4">
        <v>5</v>
      </c>
      <c r="AJ574" s="4">
        <v>18</v>
      </c>
      <c r="AK574" s="4">
        <v>18</v>
      </c>
      <c r="AL574" s="4">
        <v>0</v>
      </c>
      <c r="AM574" s="4">
        <v>1</v>
      </c>
      <c r="AN574" s="4">
        <v>0</v>
      </c>
      <c r="AO574" s="4">
        <v>0</v>
      </c>
      <c r="AP574" s="3" t="s">
        <v>59</v>
      </c>
      <c r="AQ574" s="3" t="s">
        <v>61</v>
      </c>
      <c r="AR574" s="6" t="str">
        <f>HYPERLINK("http://catalog.hathitrust.org/Record/008437994","HathiTrust Record")</f>
        <v>HathiTrust Record</v>
      </c>
      <c r="AS574" s="6" t="str">
        <f>HYPERLINK("https://creighton-primo.hosted.exlibrisgroup.com/primo-explore/search?tab=default_tab&amp;search_scope=EVERYTHING&amp;vid=01CRU&amp;lang=en_US&amp;offset=0&amp;query=any,contains,991003412399702656","Catalog Record")</f>
        <v>Catalog Record</v>
      </c>
      <c r="AT574" s="6" t="str">
        <f>HYPERLINK("http://www.worldcat.org/oclc/950719","WorldCat Record")</f>
        <v>WorldCat Record</v>
      </c>
      <c r="AU574" s="3" t="s">
        <v>6765</v>
      </c>
      <c r="AV574" s="3" t="s">
        <v>6766</v>
      </c>
      <c r="AW574" s="3" t="s">
        <v>6767</v>
      </c>
      <c r="AX574" s="3" t="s">
        <v>6767</v>
      </c>
      <c r="AY574" s="3" t="s">
        <v>6768</v>
      </c>
      <c r="AZ574" s="3" t="s">
        <v>75</v>
      </c>
      <c r="BC574" s="3" t="s">
        <v>6771</v>
      </c>
      <c r="BD574" s="3" t="s">
        <v>6772</v>
      </c>
    </row>
    <row r="575" spans="1:56" ht="44.25" customHeight="1" x14ac:dyDescent="0.25">
      <c r="A575" s="7" t="s">
        <v>61</v>
      </c>
      <c r="B575" s="2" t="s">
        <v>6773</v>
      </c>
      <c r="C575" s="2" t="s">
        <v>6774</v>
      </c>
      <c r="D575" s="2" t="s">
        <v>6775</v>
      </c>
      <c r="F575" s="3" t="s">
        <v>61</v>
      </c>
      <c r="G575" s="3" t="s">
        <v>60</v>
      </c>
      <c r="H575" s="3" t="s">
        <v>61</v>
      </c>
      <c r="I575" s="3" t="s">
        <v>61</v>
      </c>
      <c r="J575" s="3" t="s">
        <v>62</v>
      </c>
      <c r="K575" s="2" t="s">
        <v>6776</v>
      </c>
      <c r="L575" s="2" t="s">
        <v>6777</v>
      </c>
      <c r="M575" s="3" t="s">
        <v>129</v>
      </c>
      <c r="O575" s="3" t="s">
        <v>114</v>
      </c>
      <c r="P575" s="3" t="s">
        <v>67</v>
      </c>
      <c r="R575" s="3" t="s">
        <v>68</v>
      </c>
      <c r="S575" s="4">
        <v>1</v>
      </c>
      <c r="T575" s="4">
        <v>1</v>
      </c>
      <c r="U575" s="5" t="s">
        <v>6778</v>
      </c>
      <c r="V575" s="5" t="s">
        <v>6778</v>
      </c>
      <c r="W575" s="5" t="s">
        <v>5535</v>
      </c>
      <c r="X575" s="5" t="s">
        <v>5535</v>
      </c>
      <c r="Y575" s="4">
        <v>227</v>
      </c>
      <c r="Z575" s="4">
        <v>219</v>
      </c>
      <c r="AA575" s="4">
        <v>270</v>
      </c>
      <c r="AB575" s="4">
        <v>2</v>
      </c>
      <c r="AC575" s="4">
        <v>2</v>
      </c>
      <c r="AD575" s="4">
        <v>25</v>
      </c>
      <c r="AE575" s="4">
        <v>26</v>
      </c>
      <c r="AF575" s="4">
        <v>8</v>
      </c>
      <c r="AG575" s="4">
        <v>8</v>
      </c>
      <c r="AH575" s="4">
        <v>4</v>
      </c>
      <c r="AI575" s="4">
        <v>5</v>
      </c>
      <c r="AJ575" s="4">
        <v>19</v>
      </c>
      <c r="AK575" s="4">
        <v>20</v>
      </c>
      <c r="AL575" s="4">
        <v>1</v>
      </c>
      <c r="AM575" s="4">
        <v>1</v>
      </c>
      <c r="AN575" s="4">
        <v>0</v>
      </c>
      <c r="AO575" s="4">
        <v>0</v>
      </c>
      <c r="AP575" s="3" t="s">
        <v>59</v>
      </c>
      <c r="AQ575" s="3" t="s">
        <v>61</v>
      </c>
      <c r="AR575" s="6" t="str">
        <f>HYPERLINK("http://catalog.hathitrust.org/Record/006568716","HathiTrust Record")</f>
        <v>HathiTrust Record</v>
      </c>
      <c r="AS575" s="6" t="str">
        <f>HYPERLINK("https://creighton-primo.hosted.exlibrisgroup.com/primo-explore/search?tab=default_tab&amp;search_scope=EVERYTHING&amp;vid=01CRU&amp;lang=en_US&amp;offset=0&amp;query=any,contains,991003607909702656","Catalog Record")</f>
        <v>Catalog Record</v>
      </c>
      <c r="AT575" s="6" t="str">
        <f>HYPERLINK("http://www.worldcat.org/oclc/1188944","WorldCat Record")</f>
        <v>WorldCat Record</v>
      </c>
      <c r="AU575" s="3" t="s">
        <v>6779</v>
      </c>
      <c r="AV575" s="3" t="s">
        <v>6780</v>
      </c>
      <c r="AW575" s="3" t="s">
        <v>6781</v>
      </c>
      <c r="AX575" s="3" t="s">
        <v>6781</v>
      </c>
      <c r="AY575" s="3" t="s">
        <v>6782</v>
      </c>
      <c r="AZ575" s="3" t="s">
        <v>75</v>
      </c>
      <c r="BC575" s="3" t="s">
        <v>6783</v>
      </c>
      <c r="BD575" s="3" t="s">
        <v>6784</v>
      </c>
    </row>
    <row r="576" spans="1:56" ht="44.25" customHeight="1" x14ac:dyDescent="0.25">
      <c r="A576" s="7" t="s">
        <v>61</v>
      </c>
      <c r="B576" s="2" t="s">
        <v>6785</v>
      </c>
      <c r="C576" s="2" t="s">
        <v>6786</v>
      </c>
      <c r="D576" s="2" t="s">
        <v>6787</v>
      </c>
      <c r="F576" s="3" t="s">
        <v>61</v>
      </c>
      <c r="G576" s="3" t="s">
        <v>60</v>
      </c>
      <c r="H576" s="3" t="s">
        <v>61</v>
      </c>
      <c r="I576" s="3" t="s">
        <v>61</v>
      </c>
      <c r="J576" s="3" t="s">
        <v>62</v>
      </c>
      <c r="K576" s="2" t="s">
        <v>6788</v>
      </c>
      <c r="L576" s="2" t="s">
        <v>6789</v>
      </c>
      <c r="M576" s="3" t="s">
        <v>966</v>
      </c>
      <c r="O576" s="3" t="s">
        <v>114</v>
      </c>
      <c r="P576" s="3" t="s">
        <v>235</v>
      </c>
      <c r="R576" s="3" t="s">
        <v>68</v>
      </c>
      <c r="S576" s="4">
        <v>2</v>
      </c>
      <c r="T576" s="4">
        <v>2</v>
      </c>
      <c r="U576" s="5" t="s">
        <v>6790</v>
      </c>
      <c r="V576" s="5" t="s">
        <v>6790</v>
      </c>
      <c r="W576" s="5" t="s">
        <v>6790</v>
      </c>
      <c r="X576" s="5" t="s">
        <v>6790</v>
      </c>
      <c r="Y576" s="4">
        <v>233</v>
      </c>
      <c r="Z576" s="4">
        <v>224</v>
      </c>
      <c r="AA576" s="4">
        <v>319</v>
      </c>
      <c r="AB576" s="4">
        <v>5</v>
      </c>
      <c r="AC576" s="4">
        <v>6</v>
      </c>
      <c r="AD576" s="4">
        <v>7</v>
      </c>
      <c r="AE576" s="4">
        <v>16</v>
      </c>
      <c r="AF576" s="4">
        <v>2</v>
      </c>
      <c r="AG576" s="4">
        <v>5</v>
      </c>
      <c r="AH576" s="4">
        <v>1</v>
      </c>
      <c r="AI576" s="4">
        <v>3</v>
      </c>
      <c r="AJ576" s="4">
        <v>2</v>
      </c>
      <c r="AK576" s="4">
        <v>5</v>
      </c>
      <c r="AL576" s="4">
        <v>3</v>
      </c>
      <c r="AM576" s="4">
        <v>4</v>
      </c>
      <c r="AN576" s="4">
        <v>0</v>
      </c>
      <c r="AO576" s="4">
        <v>0</v>
      </c>
      <c r="AP576" s="3" t="s">
        <v>59</v>
      </c>
      <c r="AQ576" s="3" t="s">
        <v>61</v>
      </c>
      <c r="AR576" s="6" t="str">
        <f>HYPERLINK("http://catalog.hathitrust.org/Record/000446152","HathiTrust Record")</f>
        <v>HathiTrust Record</v>
      </c>
      <c r="AS576" s="6" t="str">
        <f>HYPERLINK("https://creighton-primo.hosted.exlibrisgroup.com/primo-explore/search?tab=default_tab&amp;search_scope=EVERYTHING&amp;vid=01CRU&amp;lang=en_US&amp;offset=0&amp;query=any,contains,991003228619702656","Catalog Record")</f>
        <v>Catalog Record</v>
      </c>
      <c r="AT576" s="6" t="str">
        <f>HYPERLINK("http://www.worldcat.org/oclc/753716","WorldCat Record")</f>
        <v>WorldCat Record</v>
      </c>
      <c r="AU576" s="3" t="s">
        <v>6791</v>
      </c>
      <c r="AV576" s="3" t="s">
        <v>6792</v>
      </c>
      <c r="AW576" s="3" t="s">
        <v>6793</v>
      </c>
      <c r="AX576" s="3" t="s">
        <v>6793</v>
      </c>
      <c r="AY576" s="3" t="s">
        <v>6794</v>
      </c>
      <c r="AZ576" s="3" t="s">
        <v>75</v>
      </c>
      <c r="BC576" s="3" t="s">
        <v>6795</v>
      </c>
      <c r="BD576" s="3" t="s">
        <v>6796</v>
      </c>
    </row>
    <row r="577" spans="1:56" ht="44.25" customHeight="1" x14ac:dyDescent="0.25">
      <c r="A577" s="7" t="s">
        <v>61</v>
      </c>
      <c r="B577" s="2" t="s">
        <v>6797</v>
      </c>
      <c r="C577" s="2" t="s">
        <v>6798</v>
      </c>
      <c r="D577" s="2" t="s">
        <v>6799</v>
      </c>
      <c r="F577" s="3" t="s">
        <v>61</v>
      </c>
      <c r="G577" s="3" t="s">
        <v>60</v>
      </c>
      <c r="H577" s="3" t="s">
        <v>61</v>
      </c>
      <c r="I577" s="3" t="s">
        <v>61</v>
      </c>
      <c r="J577" s="3" t="s">
        <v>62</v>
      </c>
      <c r="K577" s="2" t="s">
        <v>6800</v>
      </c>
      <c r="L577" s="2" t="s">
        <v>6801</v>
      </c>
      <c r="M577" s="3" t="s">
        <v>305</v>
      </c>
      <c r="O577" s="3" t="s">
        <v>1715</v>
      </c>
      <c r="P577" s="3" t="s">
        <v>1716</v>
      </c>
      <c r="Q577" s="2" t="s">
        <v>6802</v>
      </c>
      <c r="R577" s="3" t="s">
        <v>68</v>
      </c>
      <c r="S577" s="4">
        <v>1</v>
      </c>
      <c r="T577" s="4">
        <v>1</v>
      </c>
      <c r="U577" s="5" t="s">
        <v>3617</v>
      </c>
      <c r="V577" s="5" t="s">
        <v>3617</v>
      </c>
      <c r="W577" s="5" t="s">
        <v>3617</v>
      </c>
      <c r="X577" s="5" t="s">
        <v>3617</v>
      </c>
      <c r="Y577" s="4">
        <v>80</v>
      </c>
      <c r="Z577" s="4">
        <v>62</v>
      </c>
      <c r="AA577" s="4">
        <v>63</v>
      </c>
      <c r="AB577" s="4">
        <v>1</v>
      </c>
      <c r="AC577" s="4">
        <v>1</v>
      </c>
      <c r="AD577" s="4">
        <v>2</v>
      </c>
      <c r="AE577" s="4">
        <v>2</v>
      </c>
      <c r="AF577" s="4">
        <v>0</v>
      </c>
      <c r="AG577" s="4">
        <v>0</v>
      </c>
      <c r="AH577" s="4">
        <v>1</v>
      </c>
      <c r="AI577" s="4">
        <v>1</v>
      </c>
      <c r="AJ577" s="4">
        <v>1</v>
      </c>
      <c r="AK577" s="4">
        <v>1</v>
      </c>
      <c r="AL577" s="4">
        <v>0</v>
      </c>
      <c r="AM577" s="4">
        <v>0</v>
      </c>
      <c r="AN577" s="4">
        <v>0</v>
      </c>
      <c r="AO577" s="4">
        <v>0</v>
      </c>
      <c r="AP577" s="3" t="s">
        <v>61</v>
      </c>
      <c r="AQ577" s="3" t="s">
        <v>61</v>
      </c>
      <c r="AS577" s="6" t="str">
        <f>HYPERLINK("https://creighton-primo.hosted.exlibrisgroup.com/primo-explore/search?tab=default_tab&amp;search_scope=EVERYTHING&amp;vid=01CRU&amp;lang=en_US&amp;offset=0&amp;query=any,contains,991003603259702656","Catalog Record")</f>
        <v>Catalog Record</v>
      </c>
      <c r="AT577" s="6" t="str">
        <f>HYPERLINK("http://www.worldcat.org/oclc/1903801","WorldCat Record")</f>
        <v>WorldCat Record</v>
      </c>
      <c r="AU577" s="3" t="s">
        <v>6803</v>
      </c>
      <c r="AV577" s="3" t="s">
        <v>6804</v>
      </c>
      <c r="AW577" s="3" t="s">
        <v>6805</v>
      </c>
      <c r="AX577" s="3" t="s">
        <v>6805</v>
      </c>
      <c r="AY577" s="3" t="s">
        <v>6806</v>
      </c>
      <c r="AZ577" s="3" t="s">
        <v>75</v>
      </c>
      <c r="BC577" s="3" t="s">
        <v>6807</v>
      </c>
      <c r="BD577" s="3" t="s">
        <v>6808</v>
      </c>
    </row>
    <row r="578" spans="1:56" ht="44.25" customHeight="1" x14ac:dyDescent="0.25">
      <c r="A578" s="7" t="s">
        <v>61</v>
      </c>
      <c r="B578" s="2" t="s">
        <v>6809</v>
      </c>
      <c r="C578" s="2" t="s">
        <v>6810</v>
      </c>
      <c r="D578" s="2" t="s">
        <v>6811</v>
      </c>
      <c r="F578" s="3" t="s">
        <v>61</v>
      </c>
      <c r="G578" s="3" t="s">
        <v>60</v>
      </c>
      <c r="H578" s="3" t="s">
        <v>61</v>
      </c>
      <c r="I578" s="3" t="s">
        <v>61</v>
      </c>
      <c r="J578" s="3" t="s">
        <v>62</v>
      </c>
      <c r="K578" s="2" t="s">
        <v>6812</v>
      </c>
      <c r="L578" s="2" t="s">
        <v>6813</v>
      </c>
      <c r="M578" s="3" t="s">
        <v>2281</v>
      </c>
      <c r="O578" s="3" t="s">
        <v>114</v>
      </c>
      <c r="P578" s="3" t="s">
        <v>437</v>
      </c>
      <c r="Q578" s="2" t="s">
        <v>6814</v>
      </c>
      <c r="R578" s="3" t="s">
        <v>68</v>
      </c>
      <c r="S578" s="4">
        <v>7</v>
      </c>
      <c r="T578" s="4">
        <v>7</v>
      </c>
      <c r="U578" s="5" t="s">
        <v>6815</v>
      </c>
      <c r="V578" s="5" t="s">
        <v>6815</v>
      </c>
      <c r="W578" s="5" t="s">
        <v>2799</v>
      </c>
      <c r="X578" s="5" t="s">
        <v>2799</v>
      </c>
      <c r="Y578" s="4">
        <v>765</v>
      </c>
      <c r="Z578" s="4">
        <v>691</v>
      </c>
      <c r="AA578" s="4">
        <v>767</v>
      </c>
      <c r="AB578" s="4">
        <v>7</v>
      </c>
      <c r="AC578" s="4">
        <v>7</v>
      </c>
      <c r="AD578" s="4">
        <v>34</v>
      </c>
      <c r="AE578" s="4">
        <v>37</v>
      </c>
      <c r="AF578" s="4">
        <v>11</v>
      </c>
      <c r="AG578" s="4">
        <v>12</v>
      </c>
      <c r="AH578" s="4">
        <v>8</v>
      </c>
      <c r="AI578" s="4">
        <v>9</v>
      </c>
      <c r="AJ578" s="4">
        <v>20</v>
      </c>
      <c r="AK578" s="4">
        <v>22</v>
      </c>
      <c r="AL578" s="4">
        <v>5</v>
      </c>
      <c r="AM578" s="4">
        <v>5</v>
      </c>
      <c r="AN578" s="4">
        <v>0</v>
      </c>
      <c r="AO578" s="4">
        <v>0</v>
      </c>
      <c r="AP578" s="3" t="s">
        <v>61</v>
      </c>
      <c r="AQ578" s="3" t="s">
        <v>61</v>
      </c>
      <c r="AS578" s="6" t="str">
        <f>HYPERLINK("https://creighton-primo.hosted.exlibrisgroup.com/primo-explore/search?tab=default_tab&amp;search_scope=EVERYTHING&amp;vid=01CRU&amp;lang=en_US&amp;offset=0&amp;query=any,contains,991004358519702656","Catalog Record")</f>
        <v>Catalog Record</v>
      </c>
      <c r="AT578" s="6" t="str">
        <f>HYPERLINK("http://www.worldcat.org/oclc/3154197","WorldCat Record")</f>
        <v>WorldCat Record</v>
      </c>
      <c r="AU578" s="3" t="s">
        <v>6816</v>
      </c>
      <c r="AV578" s="3" t="s">
        <v>6817</v>
      </c>
      <c r="AW578" s="3" t="s">
        <v>6818</v>
      </c>
      <c r="AX578" s="3" t="s">
        <v>6818</v>
      </c>
      <c r="AY578" s="3" t="s">
        <v>6819</v>
      </c>
      <c r="AZ578" s="3" t="s">
        <v>75</v>
      </c>
      <c r="BB578" s="3" t="s">
        <v>6820</v>
      </c>
      <c r="BC578" s="3" t="s">
        <v>6821</v>
      </c>
      <c r="BD578" s="3" t="s">
        <v>6822</v>
      </c>
    </row>
    <row r="579" spans="1:56" ht="44.25" customHeight="1" x14ac:dyDescent="0.25">
      <c r="A579" s="7" t="s">
        <v>61</v>
      </c>
      <c r="B579" s="2" t="s">
        <v>6823</v>
      </c>
      <c r="C579" s="2" t="s">
        <v>6824</v>
      </c>
      <c r="D579" s="2" t="s">
        <v>6825</v>
      </c>
      <c r="F579" s="3" t="s">
        <v>61</v>
      </c>
      <c r="G579" s="3" t="s">
        <v>60</v>
      </c>
      <c r="H579" s="3" t="s">
        <v>61</v>
      </c>
      <c r="I579" s="3" t="s">
        <v>61</v>
      </c>
      <c r="J579" s="3" t="s">
        <v>62</v>
      </c>
      <c r="K579" s="2" t="s">
        <v>6826</v>
      </c>
      <c r="L579" s="2" t="s">
        <v>6827</v>
      </c>
      <c r="M579" s="3" t="s">
        <v>1376</v>
      </c>
      <c r="O579" s="3" t="s">
        <v>114</v>
      </c>
      <c r="P579" s="3" t="s">
        <v>235</v>
      </c>
      <c r="R579" s="3" t="s">
        <v>68</v>
      </c>
      <c r="S579" s="4">
        <v>1</v>
      </c>
      <c r="T579" s="4">
        <v>1</v>
      </c>
      <c r="U579" s="5" t="s">
        <v>2215</v>
      </c>
      <c r="V579" s="5" t="s">
        <v>2215</v>
      </c>
      <c r="W579" s="5" t="s">
        <v>5535</v>
      </c>
      <c r="X579" s="5" t="s">
        <v>5535</v>
      </c>
      <c r="Y579" s="4">
        <v>202</v>
      </c>
      <c r="Z579" s="4">
        <v>194</v>
      </c>
      <c r="AA579" s="4">
        <v>348</v>
      </c>
      <c r="AB579" s="4">
        <v>2</v>
      </c>
      <c r="AC579" s="4">
        <v>2</v>
      </c>
      <c r="AD579" s="4">
        <v>6</v>
      </c>
      <c r="AE579" s="4">
        <v>11</v>
      </c>
      <c r="AF579" s="4">
        <v>1</v>
      </c>
      <c r="AG579" s="4">
        <v>4</v>
      </c>
      <c r="AH579" s="4">
        <v>4</v>
      </c>
      <c r="AI579" s="4">
        <v>6</v>
      </c>
      <c r="AJ579" s="4">
        <v>1</v>
      </c>
      <c r="AK579" s="4">
        <v>3</v>
      </c>
      <c r="AL579" s="4">
        <v>1</v>
      </c>
      <c r="AM579" s="4">
        <v>1</v>
      </c>
      <c r="AN579" s="4">
        <v>0</v>
      </c>
      <c r="AO579" s="4">
        <v>0</v>
      </c>
      <c r="AP579" s="3" t="s">
        <v>59</v>
      </c>
      <c r="AQ579" s="3" t="s">
        <v>61</v>
      </c>
      <c r="AR579" s="6" t="str">
        <f>HYPERLINK("http://catalog.hathitrust.org/Record/000443314","HathiTrust Record")</f>
        <v>HathiTrust Record</v>
      </c>
      <c r="AS579" s="6" t="str">
        <f>HYPERLINK("https://creighton-primo.hosted.exlibrisgroup.com/primo-explore/search?tab=default_tab&amp;search_scope=EVERYTHING&amp;vid=01CRU&amp;lang=en_US&amp;offset=0&amp;query=any,contains,991000794649702656","Catalog Record")</f>
        <v>Catalog Record</v>
      </c>
      <c r="AT579" s="6" t="str">
        <f>HYPERLINK("http://www.worldcat.org/oclc/136608","WorldCat Record")</f>
        <v>WorldCat Record</v>
      </c>
      <c r="AU579" s="3" t="s">
        <v>6828</v>
      </c>
      <c r="AV579" s="3" t="s">
        <v>6829</v>
      </c>
      <c r="AW579" s="3" t="s">
        <v>6830</v>
      </c>
      <c r="AX579" s="3" t="s">
        <v>6830</v>
      </c>
      <c r="AY579" s="3" t="s">
        <v>6831</v>
      </c>
      <c r="AZ579" s="3" t="s">
        <v>75</v>
      </c>
      <c r="BB579" s="3" t="s">
        <v>6832</v>
      </c>
      <c r="BC579" s="3" t="s">
        <v>6833</v>
      </c>
      <c r="BD579" s="3" t="s">
        <v>6834</v>
      </c>
    </row>
    <row r="580" spans="1:56" ht="44.25" customHeight="1" x14ac:dyDescent="0.25">
      <c r="A580" s="7" t="s">
        <v>61</v>
      </c>
      <c r="B580" s="2" t="s">
        <v>6835</v>
      </c>
      <c r="C580" s="2" t="s">
        <v>6836</v>
      </c>
      <c r="D580" s="2" t="s">
        <v>6837</v>
      </c>
      <c r="F580" s="3" t="s">
        <v>61</v>
      </c>
      <c r="G580" s="3" t="s">
        <v>60</v>
      </c>
      <c r="H580" s="3" t="s">
        <v>61</v>
      </c>
      <c r="I580" s="3" t="s">
        <v>61</v>
      </c>
      <c r="J580" s="3" t="s">
        <v>62</v>
      </c>
      <c r="K580" s="2" t="s">
        <v>6838</v>
      </c>
      <c r="L580" s="2" t="s">
        <v>6839</v>
      </c>
      <c r="M580" s="3" t="s">
        <v>3279</v>
      </c>
      <c r="O580" s="3" t="s">
        <v>114</v>
      </c>
      <c r="P580" s="3" t="s">
        <v>235</v>
      </c>
      <c r="Q580" s="2" t="s">
        <v>6840</v>
      </c>
      <c r="R580" s="3" t="s">
        <v>68</v>
      </c>
      <c r="S580" s="4">
        <v>4</v>
      </c>
      <c r="T580" s="4">
        <v>4</v>
      </c>
      <c r="U580" s="5" t="s">
        <v>6638</v>
      </c>
      <c r="V580" s="5" t="s">
        <v>6638</v>
      </c>
      <c r="W580" s="5" t="s">
        <v>5535</v>
      </c>
      <c r="X580" s="5" t="s">
        <v>5535</v>
      </c>
      <c r="Y580" s="4">
        <v>221</v>
      </c>
      <c r="Z580" s="4">
        <v>190</v>
      </c>
      <c r="AA580" s="4">
        <v>455</v>
      </c>
      <c r="AB580" s="4">
        <v>2</v>
      </c>
      <c r="AC580" s="4">
        <v>5</v>
      </c>
      <c r="AD580" s="4">
        <v>6</v>
      </c>
      <c r="AE580" s="4">
        <v>26</v>
      </c>
      <c r="AF580" s="4">
        <v>2</v>
      </c>
      <c r="AG580" s="4">
        <v>9</v>
      </c>
      <c r="AH580" s="4">
        <v>1</v>
      </c>
      <c r="AI580" s="4">
        <v>5</v>
      </c>
      <c r="AJ580" s="4">
        <v>3</v>
      </c>
      <c r="AK580" s="4">
        <v>13</v>
      </c>
      <c r="AL580" s="4">
        <v>1</v>
      </c>
      <c r="AM580" s="4">
        <v>4</v>
      </c>
      <c r="AN580" s="4">
        <v>0</v>
      </c>
      <c r="AO580" s="4">
        <v>0</v>
      </c>
      <c r="AP580" s="3" t="s">
        <v>61</v>
      </c>
      <c r="AQ580" s="3" t="s">
        <v>59</v>
      </c>
      <c r="AR580" s="6" t="str">
        <f>HYPERLINK("http://catalog.hathitrust.org/Record/000147495","HathiTrust Record")</f>
        <v>HathiTrust Record</v>
      </c>
      <c r="AS580" s="6" t="str">
        <f>HYPERLINK("https://creighton-primo.hosted.exlibrisgroup.com/primo-explore/search?tab=default_tab&amp;search_scope=EVERYTHING&amp;vid=01CRU&amp;lang=en_US&amp;offset=0&amp;query=any,contains,991005355089702656","Catalog Record")</f>
        <v>Catalog Record</v>
      </c>
      <c r="AT580" s="6" t="str">
        <f>HYPERLINK("http://www.worldcat.org/oclc/388563","WorldCat Record")</f>
        <v>WorldCat Record</v>
      </c>
      <c r="AU580" s="3" t="s">
        <v>6841</v>
      </c>
      <c r="AV580" s="3" t="s">
        <v>6842</v>
      </c>
      <c r="AW580" s="3" t="s">
        <v>6843</v>
      </c>
      <c r="AX580" s="3" t="s">
        <v>6843</v>
      </c>
      <c r="AY580" s="3" t="s">
        <v>6844</v>
      </c>
      <c r="AZ580" s="3" t="s">
        <v>75</v>
      </c>
      <c r="BB580" s="3" t="s">
        <v>6845</v>
      </c>
      <c r="BC580" s="3" t="s">
        <v>6846</v>
      </c>
      <c r="BD580" s="3" t="s">
        <v>6847</v>
      </c>
    </row>
    <row r="581" spans="1:56" ht="44.25" customHeight="1" x14ac:dyDescent="0.25">
      <c r="A581" s="7" t="s">
        <v>61</v>
      </c>
      <c r="B581" s="2" t="s">
        <v>6848</v>
      </c>
      <c r="C581" s="2" t="s">
        <v>6849</v>
      </c>
      <c r="D581" s="2" t="s">
        <v>6850</v>
      </c>
      <c r="F581" s="3" t="s">
        <v>61</v>
      </c>
      <c r="G581" s="3" t="s">
        <v>60</v>
      </c>
      <c r="H581" s="3" t="s">
        <v>61</v>
      </c>
      <c r="I581" s="3" t="s">
        <v>61</v>
      </c>
      <c r="J581" s="3" t="s">
        <v>62</v>
      </c>
      <c r="K581" s="2" t="s">
        <v>6851</v>
      </c>
      <c r="L581" s="2" t="s">
        <v>6852</v>
      </c>
      <c r="M581" s="3" t="s">
        <v>1507</v>
      </c>
      <c r="O581" s="3" t="s">
        <v>114</v>
      </c>
      <c r="P581" s="3" t="s">
        <v>235</v>
      </c>
      <c r="R581" s="3" t="s">
        <v>68</v>
      </c>
      <c r="S581" s="4">
        <v>3</v>
      </c>
      <c r="T581" s="4">
        <v>3</v>
      </c>
      <c r="U581" s="5" t="s">
        <v>6853</v>
      </c>
      <c r="V581" s="5" t="s">
        <v>6853</v>
      </c>
      <c r="W581" s="5" t="s">
        <v>5535</v>
      </c>
      <c r="X581" s="5" t="s">
        <v>5535</v>
      </c>
      <c r="Y581" s="4">
        <v>659</v>
      </c>
      <c r="Z581" s="4">
        <v>619</v>
      </c>
      <c r="AA581" s="4">
        <v>625</v>
      </c>
      <c r="AB581" s="4">
        <v>4</v>
      </c>
      <c r="AC581" s="4">
        <v>4</v>
      </c>
      <c r="AD581" s="4">
        <v>18</v>
      </c>
      <c r="AE581" s="4">
        <v>18</v>
      </c>
      <c r="AF581" s="4">
        <v>7</v>
      </c>
      <c r="AG581" s="4">
        <v>7</v>
      </c>
      <c r="AH581" s="4">
        <v>3</v>
      </c>
      <c r="AI581" s="4">
        <v>3</v>
      </c>
      <c r="AJ581" s="4">
        <v>10</v>
      </c>
      <c r="AK581" s="4">
        <v>10</v>
      </c>
      <c r="AL581" s="4">
        <v>3</v>
      </c>
      <c r="AM581" s="4">
        <v>3</v>
      </c>
      <c r="AN581" s="4">
        <v>0</v>
      </c>
      <c r="AO581" s="4">
        <v>0</v>
      </c>
      <c r="AP581" s="3" t="s">
        <v>61</v>
      </c>
      <c r="AQ581" s="3" t="s">
        <v>59</v>
      </c>
      <c r="AR581" s="6" t="str">
        <f>HYPERLINK("http://catalog.hathitrust.org/Record/000043447","HathiTrust Record")</f>
        <v>HathiTrust Record</v>
      </c>
      <c r="AS581" s="6" t="str">
        <f>HYPERLINK("https://creighton-primo.hosted.exlibrisgroup.com/primo-explore/search?tab=default_tab&amp;search_scope=EVERYTHING&amp;vid=01CRU&amp;lang=en_US&amp;offset=0&amp;query=any,contains,991003609999702656","Catalog Record")</f>
        <v>Catalog Record</v>
      </c>
      <c r="AT581" s="6" t="str">
        <f>HYPERLINK("http://www.worldcat.org/oclc/1192393","WorldCat Record")</f>
        <v>WorldCat Record</v>
      </c>
      <c r="AU581" s="3" t="s">
        <v>6854</v>
      </c>
      <c r="AV581" s="3" t="s">
        <v>6855</v>
      </c>
      <c r="AW581" s="3" t="s">
        <v>6856</v>
      </c>
      <c r="AX581" s="3" t="s">
        <v>6856</v>
      </c>
      <c r="AY581" s="3" t="s">
        <v>6857</v>
      </c>
      <c r="AZ581" s="3" t="s">
        <v>75</v>
      </c>
      <c r="BB581" s="3" t="s">
        <v>6858</v>
      </c>
      <c r="BC581" s="3" t="s">
        <v>6859</v>
      </c>
      <c r="BD581" s="3" t="s">
        <v>6860</v>
      </c>
    </row>
    <row r="582" spans="1:56" ht="44.25" customHeight="1" x14ac:dyDescent="0.25">
      <c r="A582" s="7" t="s">
        <v>61</v>
      </c>
      <c r="B582" s="2" t="s">
        <v>6861</v>
      </c>
      <c r="C582" s="2" t="s">
        <v>6862</v>
      </c>
      <c r="D582" s="2" t="s">
        <v>6863</v>
      </c>
      <c r="F582" s="3" t="s">
        <v>61</v>
      </c>
      <c r="G582" s="3" t="s">
        <v>60</v>
      </c>
      <c r="H582" s="3" t="s">
        <v>61</v>
      </c>
      <c r="I582" s="3" t="s">
        <v>61</v>
      </c>
      <c r="J582" s="3" t="s">
        <v>62</v>
      </c>
      <c r="K582" s="2" t="s">
        <v>6864</v>
      </c>
      <c r="L582" s="2" t="s">
        <v>6865</v>
      </c>
      <c r="M582" s="3" t="s">
        <v>263</v>
      </c>
      <c r="O582" s="3" t="s">
        <v>114</v>
      </c>
      <c r="P582" s="3" t="s">
        <v>6866</v>
      </c>
      <c r="R582" s="3" t="s">
        <v>68</v>
      </c>
      <c r="S582" s="4">
        <v>6</v>
      </c>
      <c r="T582" s="4">
        <v>6</v>
      </c>
      <c r="U582" s="5" t="s">
        <v>6638</v>
      </c>
      <c r="V582" s="5" t="s">
        <v>6638</v>
      </c>
      <c r="W582" s="5" t="s">
        <v>6867</v>
      </c>
      <c r="X582" s="5" t="s">
        <v>6867</v>
      </c>
      <c r="Y582" s="4">
        <v>419</v>
      </c>
      <c r="Z582" s="4">
        <v>279</v>
      </c>
      <c r="AA582" s="4">
        <v>286</v>
      </c>
      <c r="AB582" s="4">
        <v>2</v>
      </c>
      <c r="AC582" s="4">
        <v>2</v>
      </c>
      <c r="AD582" s="4">
        <v>12</v>
      </c>
      <c r="AE582" s="4">
        <v>13</v>
      </c>
      <c r="AF582" s="4">
        <v>2</v>
      </c>
      <c r="AG582" s="4">
        <v>3</v>
      </c>
      <c r="AH582" s="4">
        <v>4</v>
      </c>
      <c r="AI582" s="4">
        <v>4</v>
      </c>
      <c r="AJ582" s="4">
        <v>9</v>
      </c>
      <c r="AK582" s="4">
        <v>10</v>
      </c>
      <c r="AL582" s="4">
        <v>1</v>
      </c>
      <c r="AM582" s="4">
        <v>1</v>
      </c>
      <c r="AN582" s="4">
        <v>0</v>
      </c>
      <c r="AO582" s="4">
        <v>0</v>
      </c>
      <c r="AP582" s="3" t="s">
        <v>61</v>
      </c>
      <c r="AQ582" s="3" t="s">
        <v>61</v>
      </c>
      <c r="AS582" s="6" t="str">
        <f>HYPERLINK("https://creighton-primo.hosted.exlibrisgroup.com/primo-explore/search?tab=default_tab&amp;search_scope=EVERYTHING&amp;vid=01CRU&amp;lang=en_US&amp;offset=0&amp;query=any,contains,991005402369702656","Catalog Record")</f>
        <v>Catalog Record</v>
      </c>
      <c r="AT582" s="6" t="str">
        <f>HYPERLINK("http://www.worldcat.org/oclc/9444844","WorldCat Record")</f>
        <v>WorldCat Record</v>
      </c>
      <c r="AU582" s="3" t="s">
        <v>6868</v>
      </c>
      <c r="AV582" s="3" t="s">
        <v>6869</v>
      </c>
      <c r="AW582" s="3" t="s">
        <v>6870</v>
      </c>
      <c r="AX582" s="3" t="s">
        <v>6870</v>
      </c>
      <c r="AY582" s="3" t="s">
        <v>6871</v>
      </c>
      <c r="AZ582" s="3" t="s">
        <v>75</v>
      </c>
      <c r="BB582" s="3" t="s">
        <v>6872</v>
      </c>
      <c r="BC582" s="3" t="s">
        <v>6873</v>
      </c>
      <c r="BD582" s="3" t="s">
        <v>6874</v>
      </c>
    </row>
    <row r="583" spans="1:56" ht="44.25" customHeight="1" x14ac:dyDescent="0.25">
      <c r="A583" s="7" t="s">
        <v>61</v>
      </c>
      <c r="B583" s="2" t="s">
        <v>6875</v>
      </c>
      <c r="C583" s="2" t="s">
        <v>6876</v>
      </c>
      <c r="D583" s="2" t="s">
        <v>6877</v>
      </c>
      <c r="F583" s="3" t="s">
        <v>61</v>
      </c>
      <c r="G583" s="3" t="s">
        <v>60</v>
      </c>
      <c r="H583" s="3" t="s">
        <v>61</v>
      </c>
      <c r="I583" s="3" t="s">
        <v>61</v>
      </c>
      <c r="J583" s="3" t="s">
        <v>62</v>
      </c>
      <c r="K583" s="2" t="s">
        <v>6878</v>
      </c>
      <c r="L583" s="2" t="s">
        <v>6879</v>
      </c>
      <c r="M583" s="3" t="s">
        <v>1074</v>
      </c>
      <c r="O583" s="3" t="s">
        <v>114</v>
      </c>
      <c r="P583" s="3" t="s">
        <v>2553</v>
      </c>
      <c r="R583" s="3" t="s">
        <v>68</v>
      </c>
      <c r="S583" s="4">
        <v>1</v>
      </c>
      <c r="T583" s="4">
        <v>1</v>
      </c>
      <c r="U583" s="5" t="s">
        <v>6880</v>
      </c>
      <c r="V583" s="5" t="s">
        <v>6880</v>
      </c>
      <c r="W583" s="5" t="s">
        <v>237</v>
      </c>
      <c r="X583" s="5" t="s">
        <v>237</v>
      </c>
      <c r="Y583" s="4">
        <v>563</v>
      </c>
      <c r="Z583" s="4">
        <v>504</v>
      </c>
      <c r="AA583" s="4">
        <v>505</v>
      </c>
      <c r="AB583" s="4">
        <v>4</v>
      </c>
      <c r="AC583" s="4">
        <v>4</v>
      </c>
      <c r="AD583" s="4">
        <v>28</v>
      </c>
      <c r="AE583" s="4">
        <v>28</v>
      </c>
      <c r="AF583" s="4">
        <v>11</v>
      </c>
      <c r="AG583" s="4">
        <v>11</v>
      </c>
      <c r="AH583" s="4">
        <v>10</v>
      </c>
      <c r="AI583" s="4">
        <v>10</v>
      </c>
      <c r="AJ583" s="4">
        <v>13</v>
      </c>
      <c r="AK583" s="4">
        <v>13</v>
      </c>
      <c r="AL583" s="4">
        <v>3</v>
      </c>
      <c r="AM583" s="4">
        <v>3</v>
      </c>
      <c r="AN583" s="4">
        <v>0</v>
      </c>
      <c r="AO583" s="4">
        <v>0</v>
      </c>
      <c r="AP583" s="3" t="s">
        <v>61</v>
      </c>
      <c r="AQ583" s="3" t="s">
        <v>59</v>
      </c>
      <c r="AR583" s="6" t="str">
        <f>HYPERLINK("http://catalog.hathitrust.org/Record/000420568","HathiTrust Record")</f>
        <v>HathiTrust Record</v>
      </c>
      <c r="AS583" s="6" t="str">
        <f>HYPERLINK("https://creighton-primo.hosted.exlibrisgroup.com/primo-explore/search?tab=default_tab&amp;search_scope=EVERYTHING&amp;vid=01CRU&amp;lang=en_US&amp;offset=0&amp;query=any,contains,991000591649702656","Catalog Record")</f>
        <v>Catalog Record</v>
      </c>
      <c r="AT583" s="6" t="str">
        <f>HYPERLINK("http://www.worldcat.org/oclc/11785490","WorldCat Record")</f>
        <v>WorldCat Record</v>
      </c>
      <c r="AU583" s="3" t="s">
        <v>6881</v>
      </c>
      <c r="AV583" s="3" t="s">
        <v>6882</v>
      </c>
      <c r="AW583" s="3" t="s">
        <v>6883</v>
      </c>
      <c r="AX583" s="3" t="s">
        <v>6883</v>
      </c>
      <c r="AY583" s="3" t="s">
        <v>6884</v>
      </c>
      <c r="AZ583" s="3" t="s">
        <v>75</v>
      </c>
      <c r="BB583" s="3" t="s">
        <v>6885</v>
      </c>
      <c r="BC583" s="3" t="s">
        <v>6886</v>
      </c>
      <c r="BD583" s="3" t="s">
        <v>6887</v>
      </c>
    </row>
    <row r="584" spans="1:56" ht="44.25" customHeight="1" x14ac:dyDescent="0.25">
      <c r="A584" s="7" t="s">
        <v>61</v>
      </c>
      <c r="B584" s="2" t="s">
        <v>6888</v>
      </c>
      <c r="C584" s="2" t="s">
        <v>6889</v>
      </c>
      <c r="D584" s="2" t="s">
        <v>6890</v>
      </c>
      <c r="F584" s="3" t="s">
        <v>61</v>
      </c>
      <c r="G584" s="3" t="s">
        <v>60</v>
      </c>
      <c r="H584" s="3" t="s">
        <v>61</v>
      </c>
      <c r="I584" s="3" t="s">
        <v>61</v>
      </c>
      <c r="J584" s="3" t="s">
        <v>62</v>
      </c>
      <c r="K584" s="2" t="s">
        <v>6891</v>
      </c>
      <c r="L584" s="2" t="s">
        <v>6892</v>
      </c>
      <c r="M584" s="3" t="s">
        <v>796</v>
      </c>
      <c r="N584" s="2" t="s">
        <v>634</v>
      </c>
      <c r="O584" s="3" t="s">
        <v>114</v>
      </c>
      <c r="P584" s="3" t="s">
        <v>192</v>
      </c>
      <c r="R584" s="3" t="s">
        <v>68</v>
      </c>
      <c r="S584" s="4">
        <v>3</v>
      </c>
      <c r="T584" s="4">
        <v>3</v>
      </c>
      <c r="U584" s="5" t="s">
        <v>2393</v>
      </c>
      <c r="V584" s="5" t="s">
        <v>2393</v>
      </c>
      <c r="W584" s="5" t="s">
        <v>5728</v>
      </c>
      <c r="X584" s="5" t="s">
        <v>5728</v>
      </c>
      <c r="Y584" s="4">
        <v>310</v>
      </c>
      <c r="Z584" s="4">
        <v>206</v>
      </c>
      <c r="AA584" s="4">
        <v>208</v>
      </c>
      <c r="AB584" s="4">
        <v>3</v>
      </c>
      <c r="AC584" s="4">
        <v>3</v>
      </c>
      <c r="AD584" s="4">
        <v>10</v>
      </c>
      <c r="AE584" s="4">
        <v>10</v>
      </c>
      <c r="AF584" s="4">
        <v>1</v>
      </c>
      <c r="AG584" s="4">
        <v>1</v>
      </c>
      <c r="AH584" s="4">
        <v>4</v>
      </c>
      <c r="AI584" s="4">
        <v>4</v>
      </c>
      <c r="AJ584" s="4">
        <v>6</v>
      </c>
      <c r="AK584" s="4">
        <v>6</v>
      </c>
      <c r="AL584" s="4">
        <v>2</v>
      </c>
      <c r="AM584" s="4">
        <v>2</v>
      </c>
      <c r="AN584" s="4">
        <v>0</v>
      </c>
      <c r="AO584" s="4">
        <v>0</v>
      </c>
      <c r="AP584" s="3" t="s">
        <v>61</v>
      </c>
      <c r="AQ584" s="3" t="s">
        <v>59</v>
      </c>
      <c r="AR584" s="6" t="str">
        <f>HYPERLINK("http://catalog.hathitrust.org/Record/000921440","HathiTrust Record")</f>
        <v>HathiTrust Record</v>
      </c>
      <c r="AS584" s="6" t="str">
        <f>HYPERLINK("https://creighton-primo.hosted.exlibrisgroup.com/primo-explore/search?tab=default_tab&amp;search_scope=EVERYTHING&amp;vid=01CRU&amp;lang=en_US&amp;offset=0&amp;query=any,contains,991001143779702656","Catalog Record")</f>
        <v>Catalog Record</v>
      </c>
      <c r="AT584" s="6" t="str">
        <f>HYPERLINK("http://www.worldcat.org/oclc/16756159","WorldCat Record")</f>
        <v>WorldCat Record</v>
      </c>
      <c r="AU584" s="3" t="s">
        <v>6893</v>
      </c>
      <c r="AV584" s="3" t="s">
        <v>6894</v>
      </c>
      <c r="AW584" s="3" t="s">
        <v>6895</v>
      </c>
      <c r="AX584" s="3" t="s">
        <v>6895</v>
      </c>
      <c r="AY584" s="3" t="s">
        <v>6896</v>
      </c>
      <c r="AZ584" s="3" t="s">
        <v>75</v>
      </c>
      <c r="BB584" s="3" t="s">
        <v>6897</v>
      </c>
      <c r="BC584" s="3" t="s">
        <v>6898</v>
      </c>
      <c r="BD584" s="3" t="s">
        <v>6899</v>
      </c>
    </row>
    <row r="585" spans="1:56" ht="44.25" customHeight="1" x14ac:dyDescent="0.25">
      <c r="A585" s="7" t="s">
        <v>61</v>
      </c>
      <c r="B585" s="2" t="s">
        <v>6900</v>
      </c>
      <c r="C585" s="2" t="s">
        <v>6901</v>
      </c>
      <c r="D585" s="2" t="s">
        <v>6902</v>
      </c>
      <c r="F585" s="3" t="s">
        <v>61</v>
      </c>
      <c r="G585" s="3" t="s">
        <v>60</v>
      </c>
      <c r="H585" s="3" t="s">
        <v>61</v>
      </c>
      <c r="I585" s="3" t="s">
        <v>61</v>
      </c>
      <c r="J585" s="3" t="s">
        <v>62</v>
      </c>
      <c r="K585" s="2" t="s">
        <v>6903</v>
      </c>
      <c r="L585" s="2" t="s">
        <v>6904</v>
      </c>
      <c r="M585" s="3" t="s">
        <v>1376</v>
      </c>
      <c r="O585" s="3" t="s">
        <v>114</v>
      </c>
      <c r="P585" s="3" t="s">
        <v>235</v>
      </c>
      <c r="R585" s="3" t="s">
        <v>68</v>
      </c>
      <c r="S585" s="4">
        <v>7</v>
      </c>
      <c r="T585" s="4">
        <v>7</v>
      </c>
      <c r="U585" s="5" t="s">
        <v>3928</v>
      </c>
      <c r="V585" s="5" t="s">
        <v>3928</v>
      </c>
      <c r="W585" s="5" t="s">
        <v>5535</v>
      </c>
      <c r="X585" s="5" t="s">
        <v>5535</v>
      </c>
      <c r="Y585" s="4">
        <v>463</v>
      </c>
      <c r="Z585" s="4">
        <v>415</v>
      </c>
      <c r="AA585" s="4">
        <v>417</v>
      </c>
      <c r="AB585" s="4">
        <v>6</v>
      </c>
      <c r="AC585" s="4">
        <v>6</v>
      </c>
      <c r="AD585" s="4">
        <v>25</v>
      </c>
      <c r="AE585" s="4">
        <v>25</v>
      </c>
      <c r="AF585" s="4">
        <v>9</v>
      </c>
      <c r="AG585" s="4">
        <v>9</v>
      </c>
      <c r="AH585" s="4">
        <v>5</v>
      </c>
      <c r="AI585" s="4">
        <v>5</v>
      </c>
      <c r="AJ585" s="4">
        <v>13</v>
      </c>
      <c r="AK585" s="4">
        <v>13</v>
      </c>
      <c r="AL585" s="4">
        <v>5</v>
      </c>
      <c r="AM585" s="4">
        <v>5</v>
      </c>
      <c r="AN585" s="4">
        <v>0</v>
      </c>
      <c r="AO585" s="4">
        <v>0</v>
      </c>
      <c r="AP585" s="3" t="s">
        <v>61</v>
      </c>
      <c r="AQ585" s="3" t="s">
        <v>61</v>
      </c>
      <c r="AS585" s="6" t="str">
        <f>HYPERLINK("https://creighton-primo.hosted.exlibrisgroup.com/primo-explore/search?tab=default_tab&amp;search_scope=EVERYTHING&amp;vid=01CRU&amp;lang=en_US&amp;offset=0&amp;query=any,contains,991005431789702656","Catalog Record")</f>
        <v>Catalog Record</v>
      </c>
      <c r="AT585" s="6" t="str">
        <f>HYPERLINK("http://www.worldcat.org/oclc/757","WorldCat Record")</f>
        <v>WorldCat Record</v>
      </c>
      <c r="AU585" s="3" t="s">
        <v>6905</v>
      </c>
      <c r="AV585" s="3" t="s">
        <v>6906</v>
      </c>
      <c r="AW585" s="3" t="s">
        <v>6907</v>
      </c>
      <c r="AX585" s="3" t="s">
        <v>6907</v>
      </c>
      <c r="AY585" s="3" t="s">
        <v>6908</v>
      </c>
      <c r="AZ585" s="3" t="s">
        <v>75</v>
      </c>
      <c r="BC585" s="3" t="s">
        <v>6909</v>
      </c>
      <c r="BD585" s="3" t="s">
        <v>6910</v>
      </c>
    </row>
    <row r="586" spans="1:56" ht="44.25" customHeight="1" x14ac:dyDescent="0.25">
      <c r="A586" s="7" t="s">
        <v>61</v>
      </c>
      <c r="B586" s="2" t="s">
        <v>6911</v>
      </c>
      <c r="C586" s="2" t="s">
        <v>6912</v>
      </c>
      <c r="D586" s="2" t="s">
        <v>6913</v>
      </c>
      <c r="F586" s="3" t="s">
        <v>61</v>
      </c>
      <c r="G586" s="3" t="s">
        <v>60</v>
      </c>
      <c r="H586" s="3" t="s">
        <v>61</v>
      </c>
      <c r="I586" s="3" t="s">
        <v>61</v>
      </c>
      <c r="J586" s="3" t="s">
        <v>62</v>
      </c>
      <c r="K586" s="2" t="s">
        <v>6914</v>
      </c>
      <c r="L586" s="2" t="s">
        <v>6915</v>
      </c>
      <c r="M586" s="3" t="s">
        <v>5844</v>
      </c>
      <c r="O586" s="3" t="s">
        <v>114</v>
      </c>
      <c r="P586" s="3" t="s">
        <v>235</v>
      </c>
      <c r="R586" s="3" t="s">
        <v>68</v>
      </c>
      <c r="S586" s="4">
        <v>1</v>
      </c>
      <c r="T586" s="4">
        <v>1</v>
      </c>
      <c r="U586" s="5" t="s">
        <v>6415</v>
      </c>
      <c r="V586" s="5" t="s">
        <v>6415</v>
      </c>
      <c r="W586" s="5" t="s">
        <v>5535</v>
      </c>
      <c r="X586" s="5" t="s">
        <v>5535</v>
      </c>
      <c r="Y586" s="4">
        <v>788</v>
      </c>
      <c r="Z586" s="4">
        <v>719</v>
      </c>
      <c r="AA586" s="4">
        <v>1301</v>
      </c>
      <c r="AB586" s="4">
        <v>7</v>
      </c>
      <c r="AC586" s="4">
        <v>11</v>
      </c>
      <c r="AD586" s="4">
        <v>25</v>
      </c>
      <c r="AE586" s="4">
        <v>48</v>
      </c>
      <c r="AF586" s="4">
        <v>11</v>
      </c>
      <c r="AG586" s="4">
        <v>21</v>
      </c>
      <c r="AH586" s="4">
        <v>5</v>
      </c>
      <c r="AI586" s="4">
        <v>8</v>
      </c>
      <c r="AJ586" s="4">
        <v>12</v>
      </c>
      <c r="AK586" s="4">
        <v>19</v>
      </c>
      <c r="AL586" s="4">
        <v>5</v>
      </c>
      <c r="AM586" s="4">
        <v>8</v>
      </c>
      <c r="AN586" s="4">
        <v>1</v>
      </c>
      <c r="AO586" s="4">
        <v>2</v>
      </c>
      <c r="AP586" s="3" t="s">
        <v>61</v>
      </c>
      <c r="AQ586" s="3" t="s">
        <v>59</v>
      </c>
      <c r="AR586" s="6" t="str">
        <f>HYPERLINK("http://catalog.hathitrust.org/Record/000488077","HathiTrust Record")</f>
        <v>HathiTrust Record</v>
      </c>
      <c r="AS586" s="6" t="str">
        <f>HYPERLINK("https://creighton-primo.hosted.exlibrisgroup.com/primo-explore/search?tab=default_tab&amp;search_scope=EVERYTHING&amp;vid=01CRU&amp;lang=en_US&amp;offset=0&amp;query=any,contains,991003615789702656","Catalog Record")</f>
        <v>Catalog Record</v>
      </c>
      <c r="AT586" s="6" t="str">
        <f>HYPERLINK("http://www.worldcat.org/oclc/1199971","WorldCat Record")</f>
        <v>WorldCat Record</v>
      </c>
      <c r="AU586" s="3" t="s">
        <v>6916</v>
      </c>
      <c r="AV586" s="3" t="s">
        <v>6917</v>
      </c>
      <c r="AW586" s="3" t="s">
        <v>6918</v>
      </c>
      <c r="AX586" s="3" t="s">
        <v>6918</v>
      </c>
      <c r="AY586" s="3" t="s">
        <v>6919</v>
      </c>
      <c r="AZ586" s="3" t="s">
        <v>75</v>
      </c>
      <c r="BC586" s="3" t="s">
        <v>6920</v>
      </c>
      <c r="BD586" s="3" t="s">
        <v>6921</v>
      </c>
    </row>
    <row r="587" spans="1:56" ht="44.25" customHeight="1" x14ac:dyDescent="0.25">
      <c r="A587" s="7" t="s">
        <v>61</v>
      </c>
      <c r="B587" s="2" t="s">
        <v>6922</v>
      </c>
      <c r="C587" s="2" t="s">
        <v>6923</v>
      </c>
      <c r="D587" s="2" t="s">
        <v>6924</v>
      </c>
      <c r="F587" s="3" t="s">
        <v>61</v>
      </c>
      <c r="G587" s="3" t="s">
        <v>60</v>
      </c>
      <c r="H587" s="3" t="s">
        <v>61</v>
      </c>
      <c r="I587" s="3" t="s">
        <v>61</v>
      </c>
      <c r="J587" s="3" t="s">
        <v>62</v>
      </c>
      <c r="K587" s="2" t="s">
        <v>6925</v>
      </c>
      <c r="L587" s="2" t="s">
        <v>6926</v>
      </c>
      <c r="M587" s="3" t="s">
        <v>1571</v>
      </c>
      <c r="O587" s="3" t="s">
        <v>114</v>
      </c>
      <c r="P587" s="3" t="s">
        <v>649</v>
      </c>
      <c r="R587" s="3" t="s">
        <v>68</v>
      </c>
      <c r="S587" s="4">
        <v>4</v>
      </c>
      <c r="T587" s="4">
        <v>4</v>
      </c>
      <c r="U587" s="5" t="s">
        <v>6927</v>
      </c>
      <c r="V587" s="5" t="s">
        <v>6927</v>
      </c>
      <c r="W587" s="5" t="s">
        <v>6928</v>
      </c>
      <c r="X587" s="5" t="s">
        <v>6928</v>
      </c>
      <c r="Y587" s="4">
        <v>546</v>
      </c>
      <c r="Z587" s="4">
        <v>463</v>
      </c>
      <c r="AA587" s="4">
        <v>972</v>
      </c>
      <c r="AB587" s="4">
        <v>6</v>
      </c>
      <c r="AC587" s="4">
        <v>11</v>
      </c>
      <c r="AD587" s="4">
        <v>23</v>
      </c>
      <c r="AE587" s="4">
        <v>47</v>
      </c>
      <c r="AF587" s="4">
        <v>6</v>
      </c>
      <c r="AG587" s="4">
        <v>18</v>
      </c>
      <c r="AH587" s="4">
        <v>2</v>
      </c>
      <c r="AI587" s="4">
        <v>8</v>
      </c>
      <c r="AJ587" s="4">
        <v>13</v>
      </c>
      <c r="AK587" s="4">
        <v>20</v>
      </c>
      <c r="AL587" s="4">
        <v>5</v>
      </c>
      <c r="AM587" s="4">
        <v>9</v>
      </c>
      <c r="AN587" s="4">
        <v>0</v>
      </c>
      <c r="AO587" s="4">
        <v>1</v>
      </c>
      <c r="AP587" s="3" t="s">
        <v>61</v>
      </c>
      <c r="AQ587" s="3" t="s">
        <v>59</v>
      </c>
      <c r="AR587" s="6" t="str">
        <f>HYPERLINK("http://catalog.hathitrust.org/Record/000487842","HathiTrust Record")</f>
        <v>HathiTrust Record</v>
      </c>
      <c r="AS587" s="6" t="str">
        <f>HYPERLINK("https://creighton-primo.hosted.exlibrisgroup.com/primo-explore/search?tab=default_tab&amp;search_scope=EVERYTHING&amp;vid=01CRU&amp;lang=en_US&amp;offset=0&amp;query=any,contains,991002665379702656","Catalog Record")</f>
        <v>Catalog Record</v>
      </c>
      <c r="AT587" s="6" t="str">
        <f>HYPERLINK("http://www.worldcat.org/oclc/392999","WorldCat Record")</f>
        <v>WorldCat Record</v>
      </c>
      <c r="AU587" s="3" t="s">
        <v>6929</v>
      </c>
      <c r="AV587" s="3" t="s">
        <v>6930</v>
      </c>
      <c r="AW587" s="3" t="s">
        <v>6931</v>
      </c>
      <c r="AX587" s="3" t="s">
        <v>6931</v>
      </c>
      <c r="AY587" s="3" t="s">
        <v>6932</v>
      </c>
      <c r="AZ587" s="3" t="s">
        <v>75</v>
      </c>
      <c r="BC587" s="3" t="s">
        <v>6933</v>
      </c>
      <c r="BD587" s="3" t="s">
        <v>6934</v>
      </c>
    </row>
    <row r="588" spans="1:56" ht="44.25" customHeight="1" x14ac:dyDescent="0.25">
      <c r="A588" s="7" t="s">
        <v>61</v>
      </c>
      <c r="B588" s="2" t="s">
        <v>6935</v>
      </c>
      <c r="C588" s="2" t="s">
        <v>6936</v>
      </c>
      <c r="D588" s="2" t="s">
        <v>6937</v>
      </c>
      <c r="F588" s="3" t="s">
        <v>61</v>
      </c>
      <c r="G588" s="3" t="s">
        <v>60</v>
      </c>
      <c r="H588" s="3" t="s">
        <v>61</v>
      </c>
      <c r="I588" s="3" t="s">
        <v>61</v>
      </c>
      <c r="J588" s="3" t="s">
        <v>62</v>
      </c>
      <c r="K588" s="2" t="s">
        <v>6938</v>
      </c>
      <c r="L588" s="2" t="s">
        <v>5213</v>
      </c>
      <c r="M588" s="3" t="s">
        <v>1319</v>
      </c>
      <c r="O588" s="3" t="s">
        <v>114</v>
      </c>
      <c r="P588" s="3" t="s">
        <v>235</v>
      </c>
      <c r="R588" s="3" t="s">
        <v>68</v>
      </c>
      <c r="S588" s="4">
        <v>4</v>
      </c>
      <c r="T588" s="4">
        <v>4</v>
      </c>
      <c r="U588" s="5" t="s">
        <v>6939</v>
      </c>
      <c r="V588" s="5" t="s">
        <v>6939</v>
      </c>
      <c r="W588" s="5" t="s">
        <v>1610</v>
      </c>
      <c r="X588" s="5" t="s">
        <v>1610</v>
      </c>
      <c r="Y588" s="4">
        <v>862</v>
      </c>
      <c r="Z588" s="4">
        <v>795</v>
      </c>
      <c r="AA588" s="4">
        <v>861</v>
      </c>
      <c r="AB588" s="4">
        <v>4</v>
      </c>
      <c r="AC588" s="4">
        <v>5</v>
      </c>
      <c r="AD588" s="4">
        <v>33</v>
      </c>
      <c r="AE588" s="4">
        <v>36</v>
      </c>
      <c r="AF588" s="4">
        <v>16</v>
      </c>
      <c r="AG588" s="4">
        <v>18</v>
      </c>
      <c r="AH588" s="4">
        <v>7</v>
      </c>
      <c r="AI588" s="4">
        <v>7</v>
      </c>
      <c r="AJ588" s="4">
        <v>15</v>
      </c>
      <c r="AK588" s="4">
        <v>17</v>
      </c>
      <c r="AL588" s="4">
        <v>3</v>
      </c>
      <c r="AM588" s="4">
        <v>4</v>
      </c>
      <c r="AN588" s="4">
        <v>0</v>
      </c>
      <c r="AO588" s="4">
        <v>0</v>
      </c>
      <c r="AP588" s="3" t="s">
        <v>61</v>
      </c>
      <c r="AQ588" s="3" t="s">
        <v>61</v>
      </c>
      <c r="AS588" s="6" t="str">
        <f>HYPERLINK("https://creighton-primo.hosted.exlibrisgroup.com/primo-explore/search?tab=default_tab&amp;search_scope=EVERYTHING&amp;vid=01CRU&amp;lang=en_US&amp;offset=0&amp;query=any,contains,991003177469702656","Catalog Record")</f>
        <v>Catalog Record</v>
      </c>
      <c r="AT588" s="6" t="str">
        <f>HYPERLINK("http://www.worldcat.org/oclc/711041","WorldCat Record")</f>
        <v>WorldCat Record</v>
      </c>
      <c r="AU588" s="3" t="s">
        <v>6940</v>
      </c>
      <c r="AV588" s="3" t="s">
        <v>6941</v>
      </c>
      <c r="AW588" s="3" t="s">
        <v>6942</v>
      </c>
      <c r="AX588" s="3" t="s">
        <v>6942</v>
      </c>
      <c r="AY588" s="3" t="s">
        <v>6943</v>
      </c>
      <c r="AZ588" s="3" t="s">
        <v>75</v>
      </c>
      <c r="BC588" s="3" t="s">
        <v>6944</v>
      </c>
      <c r="BD588" s="3" t="s">
        <v>6945</v>
      </c>
    </row>
    <row r="589" spans="1:56" ht="44.25" customHeight="1" x14ac:dyDescent="0.25">
      <c r="A589" s="7" t="s">
        <v>61</v>
      </c>
      <c r="B589" s="2" t="s">
        <v>6946</v>
      </c>
      <c r="C589" s="2" t="s">
        <v>6947</v>
      </c>
      <c r="D589" s="2" t="s">
        <v>6948</v>
      </c>
      <c r="E589" s="3" t="s">
        <v>84</v>
      </c>
      <c r="F589" s="3" t="s">
        <v>59</v>
      </c>
      <c r="G589" s="3" t="s">
        <v>60</v>
      </c>
      <c r="H589" s="3" t="s">
        <v>61</v>
      </c>
      <c r="I589" s="3" t="s">
        <v>61</v>
      </c>
      <c r="J589" s="3" t="s">
        <v>62</v>
      </c>
      <c r="K589" s="2" t="s">
        <v>6949</v>
      </c>
      <c r="L589" s="2" t="s">
        <v>6950</v>
      </c>
      <c r="M589" s="3" t="s">
        <v>6086</v>
      </c>
      <c r="O589" s="3" t="s">
        <v>114</v>
      </c>
      <c r="P589" s="3" t="s">
        <v>649</v>
      </c>
      <c r="R589" s="3" t="s">
        <v>68</v>
      </c>
      <c r="S589" s="4">
        <v>3</v>
      </c>
      <c r="T589" s="4">
        <v>6</v>
      </c>
      <c r="U589" s="5" t="s">
        <v>4502</v>
      </c>
      <c r="V589" s="5" t="s">
        <v>4502</v>
      </c>
      <c r="W589" s="5" t="s">
        <v>5535</v>
      </c>
      <c r="X589" s="5" t="s">
        <v>5535</v>
      </c>
      <c r="Y589" s="4">
        <v>520</v>
      </c>
      <c r="Z589" s="4">
        <v>475</v>
      </c>
      <c r="AA589" s="4">
        <v>734</v>
      </c>
      <c r="AB589" s="4">
        <v>3</v>
      </c>
      <c r="AC589" s="4">
        <v>5</v>
      </c>
      <c r="AD589" s="4">
        <v>21</v>
      </c>
      <c r="AE589" s="4">
        <v>34</v>
      </c>
      <c r="AF589" s="4">
        <v>8</v>
      </c>
      <c r="AG589" s="4">
        <v>15</v>
      </c>
      <c r="AH589" s="4">
        <v>6</v>
      </c>
      <c r="AI589" s="4">
        <v>8</v>
      </c>
      <c r="AJ589" s="4">
        <v>9</v>
      </c>
      <c r="AK589" s="4">
        <v>13</v>
      </c>
      <c r="AL589" s="4">
        <v>2</v>
      </c>
      <c r="AM589" s="4">
        <v>4</v>
      </c>
      <c r="AN589" s="4">
        <v>0</v>
      </c>
      <c r="AO589" s="4">
        <v>2</v>
      </c>
      <c r="AP589" s="3" t="s">
        <v>61</v>
      </c>
      <c r="AQ589" s="3" t="s">
        <v>59</v>
      </c>
      <c r="AR589" s="6" t="str">
        <f>HYPERLINK("http://catalog.hathitrust.org/Record/000487862","HathiTrust Record")</f>
        <v>HathiTrust Record</v>
      </c>
      <c r="AS589" s="6" t="str">
        <f>HYPERLINK("https://creighton-primo.hosted.exlibrisgroup.com/primo-explore/search?tab=default_tab&amp;search_scope=EVERYTHING&amp;vid=01CRU&amp;lang=en_US&amp;offset=0&amp;query=any,contains,991003001119702656","Catalog Record")</f>
        <v>Catalog Record</v>
      </c>
      <c r="AT589" s="6" t="str">
        <f>HYPERLINK("http://www.worldcat.org/oclc/568906","WorldCat Record")</f>
        <v>WorldCat Record</v>
      </c>
      <c r="AU589" s="3" t="s">
        <v>6951</v>
      </c>
      <c r="AV589" s="3" t="s">
        <v>6952</v>
      </c>
      <c r="AW589" s="3" t="s">
        <v>6953</v>
      </c>
      <c r="AX589" s="3" t="s">
        <v>6953</v>
      </c>
      <c r="AY589" s="3" t="s">
        <v>6954</v>
      </c>
      <c r="AZ589" s="3" t="s">
        <v>75</v>
      </c>
      <c r="BC589" s="3" t="s">
        <v>6955</v>
      </c>
      <c r="BD589" s="3" t="s">
        <v>6956</v>
      </c>
    </row>
    <row r="590" spans="1:56" ht="44.25" customHeight="1" x14ac:dyDescent="0.25">
      <c r="A590" s="7" t="s">
        <v>61</v>
      </c>
      <c r="B590" s="2" t="s">
        <v>6946</v>
      </c>
      <c r="C590" s="2" t="s">
        <v>6947</v>
      </c>
      <c r="D590" s="2" t="s">
        <v>6948</v>
      </c>
      <c r="E590" s="3" t="s">
        <v>141</v>
      </c>
      <c r="F590" s="3" t="s">
        <v>59</v>
      </c>
      <c r="G590" s="3" t="s">
        <v>60</v>
      </c>
      <c r="H590" s="3" t="s">
        <v>61</v>
      </c>
      <c r="I590" s="3" t="s">
        <v>61</v>
      </c>
      <c r="J590" s="3" t="s">
        <v>62</v>
      </c>
      <c r="K590" s="2" t="s">
        <v>6949</v>
      </c>
      <c r="L590" s="2" t="s">
        <v>6950</v>
      </c>
      <c r="M590" s="3" t="s">
        <v>6086</v>
      </c>
      <c r="O590" s="3" t="s">
        <v>114</v>
      </c>
      <c r="P590" s="3" t="s">
        <v>649</v>
      </c>
      <c r="R590" s="3" t="s">
        <v>68</v>
      </c>
      <c r="S590" s="4">
        <v>3</v>
      </c>
      <c r="T590" s="4">
        <v>6</v>
      </c>
      <c r="U590" s="5" t="s">
        <v>4502</v>
      </c>
      <c r="V590" s="5" t="s">
        <v>4502</v>
      </c>
      <c r="W590" s="5" t="s">
        <v>5535</v>
      </c>
      <c r="X590" s="5" t="s">
        <v>5535</v>
      </c>
      <c r="Y590" s="4">
        <v>520</v>
      </c>
      <c r="Z590" s="4">
        <v>475</v>
      </c>
      <c r="AA590" s="4">
        <v>734</v>
      </c>
      <c r="AB590" s="4">
        <v>3</v>
      </c>
      <c r="AC590" s="4">
        <v>5</v>
      </c>
      <c r="AD590" s="4">
        <v>21</v>
      </c>
      <c r="AE590" s="4">
        <v>34</v>
      </c>
      <c r="AF590" s="4">
        <v>8</v>
      </c>
      <c r="AG590" s="4">
        <v>15</v>
      </c>
      <c r="AH590" s="4">
        <v>6</v>
      </c>
      <c r="AI590" s="4">
        <v>8</v>
      </c>
      <c r="AJ590" s="4">
        <v>9</v>
      </c>
      <c r="AK590" s="4">
        <v>13</v>
      </c>
      <c r="AL590" s="4">
        <v>2</v>
      </c>
      <c r="AM590" s="4">
        <v>4</v>
      </c>
      <c r="AN590" s="4">
        <v>0</v>
      </c>
      <c r="AO590" s="4">
        <v>2</v>
      </c>
      <c r="AP590" s="3" t="s">
        <v>61</v>
      </c>
      <c r="AQ590" s="3" t="s">
        <v>59</v>
      </c>
      <c r="AR590" s="6" t="str">
        <f>HYPERLINK("http://catalog.hathitrust.org/Record/000487862","HathiTrust Record")</f>
        <v>HathiTrust Record</v>
      </c>
      <c r="AS590" s="6" t="str">
        <f>HYPERLINK("https://creighton-primo.hosted.exlibrisgroup.com/primo-explore/search?tab=default_tab&amp;search_scope=EVERYTHING&amp;vid=01CRU&amp;lang=en_US&amp;offset=0&amp;query=any,contains,991003001119702656","Catalog Record")</f>
        <v>Catalog Record</v>
      </c>
      <c r="AT590" s="6" t="str">
        <f>HYPERLINK("http://www.worldcat.org/oclc/568906","WorldCat Record")</f>
        <v>WorldCat Record</v>
      </c>
      <c r="AU590" s="3" t="s">
        <v>6951</v>
      </c>
      <c r="AV590" s="3" t="s">
        <v>6952</v>
      </c>
      <c r="AW590" s="3" t="s">
        <v>6953</v>
      </c>
      <c r="AX590" s="3" t="s">
        <v>6953</v>
      </c>
      <c r="AY590" s="3" t="s">
        <v>6954</v>
      </c>
      <c r="AZ590" s="3" t="s">
        <v>75</v>
      </c>
      <c r="BC590" s="3" t="s">
        <v>6957</v>
      </c>
      <c r="BD590" s="3" t="s">
        <v>6958</v>
      </c>
    </row>
    <row r="591" spans="1:56" ht="44.25" customHeight="1" x14ac:dyDescent="0.25">
      <c r="A591" s="7" t="s">
        <v>61</v>
      </c>
      <c r="B591" s="2" t="s">
        <v>6959</v>
      </c>
      <c r="C591" s="2" t="s">
        <v>6960</v>
      </c>
      <c r="D591" s="2" t="s">
        <v>6961</v>
      </c>
      <c r="F591" s="3" t="s">
        <v>61</v>
      </c>
      <c r="G591" s="3" t="s">
        <v>60</v>
      </c>
      <c r="H591" s="3" t="s">
        <v>61</v>
      </c>
      <c r="I591" s="3" t="s">
        <v>61</v>
      </c>
      <c r="J591" s="3" t="s">
        <v>62</v>
      </c>
      <c r="K591" s="2" t="s">
        <v>6962</v>
      </c>
      <c r="L591" s="2" t="s">
        <v>6963</v>
      </c>
      <c r="M591" s="3" t="s">
        <v>6548</v>
      </c>
      <c r="O591" s="3" t="s">
        <v>114</v>
      </c>
      <c r="P591" s="3" t="s">
        <v>235</v>
      </c>
      <c r="R591" s="3" t="s">
        <v>68</v>
      </c>
      <c r="S591" s="4">
        <v>2</v>
      </c>
      <c r="T591" s="4">
        <v>2</v>
      </c>
      <c r="U591" s="5" t="s">
        <v>6927</v>
      </c>
      <c r="V591" s="5" t="s">
        <v>6927</v>
      </c>
      <c r="W591" s="5" t="s">
        <v>6964</v>
      </c>
      <c r="X591" s="5" t="s">
        <v>6964</v>
      </c>
      <c r="Y591" s="4">
        <v>314</v>
      </c>
      <c r="Z591" s="4">
        <v>282</v>
      </c>
      <c r="AA591" s="4">
        <v>667</v>
      </c>
      <c r="AB591" s="4">
        <v>4</v>
      </c>
      <c r="AC591" s="4">
        <v>7</v>
      </c>
      <c r="AD591" s="4">
        <v>15</v>
      </c>
      <c r="AE591" s="4">
        <v>38</v>
      </c>
      <c r="AF591" s="4">
        <v>5</v>
      </c>
      <c r="AG591" s="4">
        <v>15</v>
      </c>
      <c r="AH591" s="4">
        <v>4</v>
      </c>
      <c r="AI591" s="4">
        <v>9</v>
      </c>
      <c r="AJ591" s="4">
        <v>8</v>
      </c>
      <c r="AK591" s="4">
        <v>14</v>
      </c>
      <c r="AL591" s="4">
        <v>3</v>
      </c>
      <c r="AM591" s="4">
        <v>6</v>
      </c>
      <c r="AN591" s="4">
        <v>0</v>
      </c>
      <c r="AO591" s="4">
        <v>2</v>
      </c>
      <c r="AP591" s="3" t="s">
        <v>59</v>
      </c>
      <c r="AQ591" s="3" t="s">
        <v>61</v>
      </c>
      <c r="AR591" s="6" t="str">
        <f>HYPERLINK("http://catalog.hathitrust.org/Record/000488702","HathiTrust Record")</f>
        <v>HathiTrust Record</v>
      </c>
      <c r="AS591" s="6" t="str">
        <f>HYPERLINK("https://creighton-primo.hosted.exlibrisgroup.com/primo-explore/search?tab=default_tab&amp;search_scope=EVERYTHING&amp;vid=01CRU&amp;lang=en_US&amp;offset=0&amp;query=any,contains,991003584919702656","Catalog Record")</f>
        <v>Catalog Record</v>
      </c>
      <c r="AT591" s="6" t="str">
        <f>HYPERLINK("http://www.worldcat.org/oclc/1165275","WorldCat Record")</f>
        <v>WorldCat Record</v>
      </c>
      <c r="AU591" s="3" t="s">
        <v>6965</v>
      </c>
      <c r="AV591" s="3" t="s">
        <v>6966</v>
      </c>
      <c r="AW591" s="3" t="s">
        <v>6967</v>
      </c>
      <c r="AX591" s="3" t="s">
        <v>6967</v>
      </c>
      <c r="AY591" s="3" t="s">
        <v>6968</v>
      </c>
      <c r="AZ591" s="3" t="s">
        <v>75</v>
      </c>
      <c r="BC591" s="3" t="s">
        <v>6969</v>
      </c>
      <c r="BD591" s="3" t="s">
        <v>6970</v>
      </c>
    </row>
    <row r="592" spans="1:56" ht="44.25" customHeight="1" x14ac:dyDescent="0.25">
      <c r="A592" s="7" t="s">
        <v>61</v>
      </c>
      <c r="B592" s="2" t="s">
        <v>6971</v>
      </c>
      <c r="C592" s="2" t="s">
        <v>6972</v>
      </c>
      <c r="D592" s="2" t="s">
        <v>6973</v>
      </c>
      <c r="F592" s="3" t="s">
        <v>61</v>
      </c>
      <c r="G592" s="3" t="s">
        <v>60</v>
      </c>
      <c r="H592" s="3" t="s">
        <v>61</v>
      </c>
      <c r="I592" s="3" t="s">
        <v>61</v>
      </c>
      <c r="J592" s="3" t="s">
        <v>62</v>
      </c>
      <c r="K592" s="2" t="s">
        <v>6974</v>
      </c>
      <c r="L592" s="2" t="s">
        <v>6975</v>
      </c>
      <c r="M592" s="3" t="s">
        <v>1465</v>
      </c>
      <c r="O592" s="3" t="s">
        <v>114</v>
      </c>
      <c r="P592" s="3" t="s">
        <v>235</v>
      </c>
      <c r="Q592" s="2" t="s">
        <v>6976</v>
      </c>
      <c r="R592" s="3" t="s">
        <v>68</v>
      </c>
      <c r="S592" s="4">
        <v>14</v>
      </c>
      <c r="T592" s="4">
        <v>14</v>
      </c>
      <c r="U592" s="5" t="s">
        <v>3101</v>
      </c>
      <c r="V592" s="5" t="s">
        <v>3101</v>
      </c>
      <c r="W592" s="5" t="s">
        <v>6977</v>
      </c>
      <c r="X592" s="5" t="s">
        <v>6977</v>
      </c>
      <c r="Y592" s="4">
        <v>448</v>
      </c>
      <c r="Z592" s="4">
        <v>392</v>
      </c>
      <c r="AA592" s="4">
        <v>416</v>
      </c>
      <c r="AB592" s="4">
        <v>2</v>
      </c>
      <c r="AC592" s="4">
        <v>2</v>
      </c>
      <c r="AD592" s="4">
        <v>18</v>
      </c>
      <c r="AE592" s="4">
        <v>18</v>
      </c>
      <c r="AF592" s="4">
        <v>7</v>
      </c>
      <c r="AG592" s="4">
        <v>7</v>
      </c>
      <c r="AH592" s="4">
        <v>6</v>
      </c>
      <c r="AI592" s="4">
        <v>6</v>
      </c>
      <c r="AJ592" s="4">
        <v>11</v>
      </c>
      <c r="AK592" s="4">
        <v>11</v>
      </c>
      <c r="AL592" s="4">
        <v>1</v>
      </c>
      <c r="AM592" s="4">
        <v>1</v>
      </c>
      <c r="AN592" s="4">
        <v>0</v>
      </c>
      <c r="AO592" s="4">
        <v>0</v>
      </c>
      <c r="AP592" s="3" t="s">
        <v>61</v>
      </c>
      <c r="AQ592" s="3" t="s">
        <v>61</v>
      </c>
      <c r="AS592" s="6" t="str">
        <f>HYPERLINK("https://creighton-primo.hosted.exlibrisgroup.com/primo-explore/search?tab=default_tab&amp;search_scope=EVERYTHING&amp;vid=01CRU&amp;lang=en_US&amp;offset=0&amp;query=any,contains,991001808409702656","Catalog Record")</f>
        <v>Catalog Record</v>
      </c>
      <c r="AT592" s="6" t="str">
        <f>HYPERLINK("http://www.worldcat.org/oclc/22731179","WorldCat Record")</f>
        <v>WorldCat Record</v>
      </c>
      <c r="AU592" s="3" t="s">
        <v>6978</v>
      </c>
      <c r="AV592" s="3" t="s">
        <v>6979</v>
      </c>
      <c r="AW592" s="3" t="s">
        <v>6980</v>
      </c>
      <c r="AX592" s="3" t="s">
        <v>6980</v>
      </c>
      <c r="AY592" s="3" t="s">
        <v>6981</v>
      </c>
      <c r="AZ592" s="3" t="s">
        <v>75</v>
      </c>
      <c r="BB592" s="3" t="s">
        <v>6982</v>
      </c>
      <c r="BC592" s="3" t="s">
        <v>6983</v>
      </c>
      <c r="BD592" s="3" t="s">
        <v>6984</v>
      </c>
    </row>
    <row r="593" spans="1:56" ht="44.25" customHeight="1" x14ac:dyDescent="0.25">
      <c r="A593" s="7" t="s">
        <v>61</v>
      </c>
      <c r="B593" s="2" t="s">
        <v>6985</v>
      </c>
      <c r="C593" s="2" t="s">
        <v>6986</v>
      </c>
      <c r="D593" s="2" t="s">
        <v>6987</v>
      </c>
      <c r="F593" s="3" t="s">
        <v>61</v>
      </c>
      <c r="G593" s="3" t="s">
        <v>60</v>
      </c>
      <c r="H593" s="3" t="s">
        <v>61</v>
      </c>
      <c r="I593" s="3" t="s">
        <v>61</v>
      </c>
      <c r="J593" s="3" t="s">
        <v>62</v>
      </c>
      <c r="K593" s="2" t="s">
        <v>6988</v>
      </c>
      <c r="L593" s="2" t="s">
        <v>6989</v>
      </c>
      <c r="M593" s="3" t="s">
        <v>129</v>
      </c>
      <c r="O593" s="3" t="s">
        <v>114</v>
      </c>
      <c r="P593" s="3" t="s">
        <v>1494</v>
      </c>
      <c r="R593" s="3" t="s">
        <v>68</v>
      </c>
      <c r="S593" s="4">
        <v>2</v>
      </c>
      <c r="T593" s="4">
        <v>2</v>
      </c>
      <c r="U593" s="5" t="s">
        <v>4514</v>
      </c>
      <c r="V593" s="5" t="s">
        <v>4514</v>
      </c>
      <c r="W593" s="5" t="s">
        <v>6964</v>
      </c>
      <c r="X593" s="5" t="s">
        <v>6964</v>
      </c>
      <c r="Y593" s="4">
        <v>600</v>
      </c>
      <c r="Z593" s="4">
        <v>542</v>
      </c>
      <c r="AA593" s="4">
        <v>722</v>
      </c>
      <c r="AB593" s="4">
        <v>8</v>
      </c>
      <c r="AC593" s="4">
        <v>11</v>
      </c>
      <c r="AD593" s="4">
        <v>37</v>
      </c>
      <c r="AE593" s="4">
        <v>47</v>
      </c>
      <c r="AF593" s="4">
        <v>11</v>
      </c>
      <c r="AG593" s="4">
        <v>14</v>
      </c>
      <c r="AH593" s="4">
        <v>8</v>
      </c>
      <c r="AI593" s="4">
        <v>9</v>
      </c>
      <c r="AJ593" s="4">
        <v>19</v>
      </c>
      <c r="AK593" s="4">
        <v>19</v>
      </c>
      <c r="AL593" s="4">
        <v>7</v>
      </c>
      <c r="AM593" s="4">
        <v>9</v>
      </c>
      <c r="AN593" s="4">
        <v>1</v>
      </c>
      <c r="AO593" s="4">
        <v>6</v>
      </c>
      <c r="AP593" s="3" t="s">
        <v>59</v>
      </c>
      <c r="AQ593" s="3" t="s">
        <v>61</v>
      </c>
      <c r="AR593" s="6" t="str">
        <f>HYPERLINK("http://catalog.hathitrust.org/Record/000488874","HathiTrust Record")</f>
        <v>HathiTrust Record</v>
      </c>
      <c r="AS593" s="6" t="str">
        <f>HYPERLINK("https://creighton-primo.hosted.exlibrisgroup.com/primo-explore/search?tab=default_tab&amp;search_scope=EVERYTHING&amp;vid=01CRU&amp;lang=en_US&amp;offset=0&amp;query=any,contains,991003833749702656","Catalog Record")</f>
        <v>Catalog Record</v>
      </c>
      <c r="AT593" s="6" t="str">
        <f>HYPERLINK("http://www.worldcat.org/oclc/1597495","WorldCat Record")</f>
        <v>WorldCat Record</v>
      </c>
      <c r="AU593" s="3" t="s">
        <v>6990</v>
      </c>
      <c r="AV593" s="3" t="s">
        <v>6991</v>
      </c>
      <c r="AW593" s="3" t="s">
        <v>6992</v>
      </c>
      <c r="AX593" s="3" t="s">
        <v>6992</v>
      </c>
      <c r="AY593" s="3" t="s">
        <v>6993</v>
      </c>
      <c r="AZ593" s="3" t="s">
        <v>75</v>
      </c>
      <c r="BC593" s="3" t="s">
        <v>6994</v>
      </c>
      <c r="BD593" s="3" t="s">
        <v>6995</v>
      </c>
    </row>
    <row r="594" spans="1:56" ht="44.25" customHeight="1" x14ac:dyDescent="0.25">
      <c r="A594" s="7" t="s">
        <v>61</v>
      </c>
      <c r="B594" s="2" t="s">
        <v>6996</v>
      </c>
      <c r="C594" s="2" t="s">
        <v>6997</v>
      </c>
      <c r="D594" s="2" t="s">
        <v>6998</v>
      </c>
      <c r="F594" s="3" t="s">
        <v>61</v>
      </c>
      <c r="G594" s="3" t="s">
        <v>60</v>
      </c>
      <c r="H594" s="3" t="s">
        <v>61</v>
      </c>
      <c r="I594" s="3" t="s">
        <v>61</v>
      </c>
      <c r="J594" s="3" t="s">
        <v>62</v>
      </c>
      <c r="K594" s="2" t="s">
        <v>6999</v>
      </c>
      <c r="L594" s="2" t="s">
        <v>7000</v>
      </c>
      <c r="M594" s="3" t="s">
        <v>755</v>
      </c>
      <c r="O594" s="3" t="s">
        <v>114</v>
      </c>
      <c r="P594" s="3" t="s">
        <v>192</v>
      </c>
      <c r="R594" s="3" t="s">
        <v>68</v>
      </c>
      <c r="S594" s="4">
        <v>6</v>
      </c>
      <c r="T594" s="4">
        <v>6</v>
      </c>
      <c r="U594" s="5" t="s">
        <v>365</v>
      </c>
      <c r="V594" s="5" t="s">
        <v>365</v>
      </c>
      <c r="W594" s="5" t="s">
        <v>7001</v>
      </c>
      <c r="X594" s="5" t="s">
        <v>7001</v>
      </c>
      <c r="Y594" s="4">
        <v>304</v>
      </c>
      <c r="Z594" s="4">
        <v>203</v>
      </c>
      <c r="AA594" s="4">
        <v>369</v>
      </c>
      <c r="AB594" s="4">
        <v>3</v>
      </c>
      <c r="AC594" s="4">
        <v>3</v>
      </c>
      <c r="AD594" s="4">
        <v>10</v>
      </c>
      <c r="AE594" s="4">
        <v>15</v>
      </c>
      <c r="AF594" s="4">
        <v>5</v>
      </c>
      <c r="AG594" s="4">
        <v>6</v>
      </c>
      <c r="AH594" s="4">
        <v>1</v>
      </c>
      <c r="AI594" s="4">
        <v>3</v>
      </c>
      <c r="AJ594" s="4">
        <v>6</v>
      </c>
      <c r="AK594" s="4">
        <v>9</v>
      </c>
      <c r="AL594" s="4">
        <v>2</v>
      </c>
      <c r="AM594" s="4">
        <v>2</v>
      </c>
      <c r="AN594" s="4">
        <v>0</v>
      </c>
      <c r="AO594" s="4">
        <v>0</v>
      </c>
      <c r="AP594" s="3" t="s">
        <v>61</v>
      </c>
      <c r="AQ594" s="3" t="s">
        <v>61</v>
      </c>
      <c r="AS594" s="6" t="str">
        <f>HYPERLINK("https://creighton-primo.hosted.exlibrisgroup.com/primo-explore/search?tab=default_tab&amp;search_scope=EVERYTHING&amp;vid=01CRU&amp;lang=en_US&amp;offset=0&amp;query=any,contains,991002272299702656","Catalog Record")</f>
        <v>Catalog Record</v>
      </c>
      <c r="AT594" s="6" t="str">
        <f>HYPERLINK("http://www.worldcat.org/oclc/308664","WorldCat Record")</f>
        <v>WorldCat Record</v>
      </c>
      <c r="AU594" s="3" t="s">
        <v>7002</v>
      </c>
      <c r="AV594" s="3" t="s">
        <v>7003</v>
      </c>
      <c r="AW594" s="3" t="s">
        <v>7004</v>
      </c>
      <c r="AX594" s="3" t="s">
        <v>7004</v>
      </c>
      <c r="AY594" s="3" t="s">
        <v>7005</v>
      </c>
      <c r="AZ594" s="3" t="s">
        <v>75</v>
      </c>
      <c r="BB594" s="3" t="s">
        <v>7006</v>
      </c>
      <c r="BC594" s="3" t="s">
        <v>7007</v>
      </c>
      <c r="BD594" s="3" t="s">
        <v>7008</v>
      </c>
    </row>
    <row r="595" spans="1:56" ht="44.25" customHeight="1" x14ac:dyDescent="0.25">
      <c r="A595" s="7" t="s">
        <v>61</v>
      </c>
      <c r="B595" s="2" t="s">
        <v>7009</v>
      </c>
      <c r="C595" s="2" t="s">
        <v>7010</v>
      </c>
      <c r="D595" s="2" t="s">
        <v>7011</v>
      </c>
      <c r="F595" s="3" t="s">
        <v>61</v>
      </c>
      <c r="G595" s="3" t="s">
        <v>60</v>
      </c>
      <c r="H595" s="3" t="s">
        <v>61</v>
      </c>
      <c r="I595" s="3" t="s">
        <v>61</v>
      </c>
      <c r="J595" s="3" t="s">
        <v>62</v>
      </c>
      <c r="K595" s="2" t="s">
        <v>7012</v>
      </c>
      <c r="L595" s="2" t="s">
        <v>7013</v>
      </c>
      <c r="M595" s="3" t="s">
        <v>579</v>
      </c>
      <c r="N595" s="2" t="s">
        <v>634</v>
      </c>
      <c r="O595" s="3" t="s">
        <v>114</v>
      </c>
      <c r="P595" s="3" t="s">
        <v>235</v>
      </c>
      <c r="R595" s="3" t="s">
        <v>68</v>
      </c>
      <c r="S595" s="4">
        <v>1</v>
      </c>
      <c r="T595" s="4">
        <v>1</v>
      </c>
      <c r="U595" s="5" t="s">
        <v>7014</v>
      </c>
      <c r="V595" s="5" t="s">
        <v>7014</v>
      </c>
      <c r="W595" s="5" t="s">
        <v>7015</v>
      </c>
      <c r="X595" s="5" t="s">
        <v>7015</v>
      </c>
      <c r="Y595" s="4">
        <v>832</v>
      </c>
      <c r="Z595" s="4">
        <v>712</v>
      </c>
      <c r="AA595" s="4">
        <v>720</v>
      </c>
      <c r="AB595" s="4">
        <v>4</v>
      </c>
      <c r="AC595" s="4">
        <v>4</v>
      </c>
      <c r="AD595" s="4">
        <v>29</v>
      </c>
      <c r="AE595" s="4">
        <v>29</v>
      </c>
      <c r="AF595" s="4">
        <v>11</v>
      </c>
      <c r="AG595" s="4">
        <v>11</v>
      </c>
      <c r="AH595" s="4">
        <v>11</v>
      </c>
      <c r="AI595" s="4">
        <v>11</v>
      </c>
      <c r="AJ595" s="4">
        <v>13</v>
      </c>
      <c r="AK595" s="4">
        <v>13</v>
      </c>
      <c r="AL595" s="4">
        <v>3</v>
      </c>
      <c r="AM595" s="4">
        <v>3</v>
      </c>
      <c r="AN595" s="4">
        <v>0</v>
      </c>
      <c r="AO595" s="4">
        <v>0</v>
      </c>
      <c r="AP595" s="3" t="s">
        <v>61</v>
      </c>
      <c r="AQ595" s="3" t="s">
        <v>61</v>
      </c>
      <c r="AS595" s="6" t="str">
        <f>HYPERLINK("https://creighton-primo.hosted.exlibrisgroup.com/primo-explore/search?tab=default_tab&amp;search_scope=EVERYTHING&amp;vid=01CRU&amp;lang=en_US&amp;offset=0&amp;query=any,contains,991000299949702656","Catalog Record")</f>
        <v>Catalog Record</v>
      </c>
      <c r="AT595" s="6" t="str">
        <f>HYPERLINK("http://www.worldcat.org/oclc/10021060","WorldCat Record")</f>
        <v>WorldCat Record</v>
      </c>
      <c r="AU595" s="3" t="s">
        <v>7016</v>
      </c>
      <c r="AV595" s="3" t="s">
        <v>7017</v>
      </c>
      <c r="AW595" s="3" t="s">
        <v>7018</v>
      </c>
      <c r="AX595" s="3" t="s">
        <v>7018</v>
      </c>
      <c r="AY595" s="3" t="s">
        <v>7019</v>
      </c>
      <c r="AZ595" s="3" t="s">
        <v>75</v>
      </c>
      <c r="BB595" s="3" t="s">
        <v>7020</v>
      </c>
      <c r="BC595" s="3" t="s">
        <v>7021</v>
      </c>
      <c r="BD595" s="3" t="s">
        <v>7022</v>
      </c>
    </row>
    <row r="596" spans="1:56" ht="44.25" customHeight="1" x14ac:dyDescent="0.25">
      <c r="A596" s="7" t="s">
        <v>61</v>
      </c>
      <c r="B596" s="2" t="s">
        <v>7023</v>
      </c>
      <c r="C596" s="2" t="s">
        <v>7024</v>
      </c>
      <c r="D596" s="2" t="s">
        <v>7025</v>
      </c>
      <c r="E596" s="3" t="s">
        <v>141</v>
      </c>
      <c r="F596" s="3" t="s">
        <v>59</v>
      </c>
      <c r="G596" s="3" t="s">
        <v>60</v>
      </c>
      <c r="H596" s="3" t="s">
        <v>61</v>
      </c>
      <c r="I596" s="3" t="s">
        <v>61</v>
      </c>
      <c r="J596" s="3" t="s">
        <v>62</v>
      </c>
      <c r="K596" s="2" t="s">
        <v>7026</v>
      </c>
      <c r="L596" s="2" t="s">
        <v>7027</v>
      </c>
      <c r="M596" s="3" t="s">
        <v>305</v>
      </c>
      <c r="O596" s="3" t="s">
        <v>114</v>
      </c>
      <c r="P596" s="3" t="s">
        <v>235</v>
      </c>
      <c r="Q596" s="2" t="s">
        <v>7028</v>
      </c>
      <c r="R596" s="3" t="s">
        <v>68</v>
      </c>
      <c r="S596" s="4">
        <v>1</v>
      </c>
      <c r="T596" s="4">
        <v>2</v>
      </c>
      <c r="U596" s="5" t="s">
        <v>5263</v>
      </c>
      <c r="V596" s="5" t="s">
        <v>5263</v>
      </c>
      <c r="W596" s="5" t="s">
        <v>5535</v>
      </c>
      <c r="X596" s="5" t="s">
        <v>5535</v>
      </c>
      <c r="Y596" s="4">
        <v>360</v>
      </c>
      <c r="Z596" s="4">
        <v>305</v>
      </c>
      <c r="AA596" s="4">
        <v>554</v>
      </c>
      <c r="AB596" s="4">
        <v>5</v>
      </c>
      <c r="AC596" s="4">
        <v>6</v>
      </c>
      <c r="AD596" s="4">
        <v>25</v>
      </c>
      <c r="AE596" s="4">
        <v>37</v>
      </c>
      <c r="AF596" s="4">
        <v>14</v>
      </c>
      <c r="AG596" s="4">
        <v>16</v>
      </c>
      <c r="AH596" s="4">
        <v>2</v>
      </c>
      <c r="AI596" s="4">
        <v>6</v>
      </c>
      <c r="AJ596" s="4">
        <v>11</v>
      </c>
      <c r="AK596" s="4">
        <v>18</v>
      </c>
      <c r="AL596" s="4">
        <v>4</v>
      </c>
      <c r="AM596" s="4">
        <v>5</v>
      </c>
      <c r="AN596" s="4">
        <v>0</v>
      </c>
      <c r="AO596" s="4">
        <v>1</v>
      </c>
      <c r="AP596" s="3" t="s">
        <v>61</v>
      </c>
      <c r="AQ596" s="3" t="s">
        <v>59</v>
      </c>
      <c r="AR596" s="6" t="str">
        <f>HYPERLINK("http://catalog.hathitrust.org/Record/007120387","HathiTrust Record")</f>
        <v>HathiTrust Record</v>
      </c>
      <c r="AS596" s="6" t="str">
        <f>HYPERLINK("https://creighton-primo.hosted.exlibrisgroup.com/primo-explore/search?tab=default_tab&amp;search_scope=EVERYTHING&amp;vid=01CRU&amp;lang=en_US&amp;offset=0&amp;query=any,contains,991001961229702656","Catalog Record")</f>
        <v>Catalog Record</v>
      </c>
      <c r="AT596" s="6" t="str">
        <f>HYPERLINK("http://www.worldcat.org/oclc/253494","WorldCat Record")</f>
        <v>WorldCat Record</v>
      </c>
      <c r="AU596" s="3" t="s">
        <v>7029</v>
      </c>
      <c r="AV596" s="3" t="s">
        <v>7030</v>
      </c>
      <c r="AW596" s="3" t="s">
        <v>7031</v>
      </c>
      <c r="AX596" s="3" t="s">
        <v>7031</v>
      </c>
      <c r="AY596" s="3" t="s">
        <v>7032</v>
      </c>
      <c r="AZ596" s="3" t="s">
        <v>75</v>
      </c>
      <c r="BC596" s="3" t="s">
        <v>7033</v>
      </c>
      <c r="BD596" s="3" t="s">
        <v>7034</v>
      </c>
    </row>
    <row r="597" spans="1:56" ht="44.25" customHeight="1" x14ac:dyDescent="0.25">
      <c r="A597" s="7" t="s">
        <v>61</v>
      </c>
      <c r="B597" s="2" t="s">
        <v>7023</v>
      </c>
      <c r="C597" s="2" t="s">
        <v>7024</v>
      </c>
      <c r="D597" s="2" t="s">
        <v>7025</v>
      </c>
      <c r="E597" s="3" t="s">
        <v>84</v>
      </c>
      <c r="F597" s="3" t="s">
        <v>59</v>
      </c>
      <c r="G597" s="3" t="s">
        <v>60</v>
      </c>
      <c r="H597" s="3" t="s">
        <v>61</v>
      </c>
      <c r="I597" s="3" t="s">
        <v>61</v>
      </c>
      <c r="J597" s="3" t="s">
        <v>62</v>
      </c>
      <c r="K597" s="2" t="s">
        <v>7026</v>
      </c>
      <c r="L597" s="2" t="s">
        <v>7027</v>
      </c>
      <c r="M597" s="3" t="s">
        <v>305</v>
      </c>
      <c r="O597" s="3" t="s">
        <v>114</v>
      </c>
      <c r="P597" s="3" t="s">
        <v>235</v>
      </c>
      <c r="Q597" s="2" t="s">
        <v>7028</v>
      </c>
      <c r="R597" s="3" t="s">
        <v>68</v>
      </c>
      <c r="S597" s="4">
        <v>1</v>
      </c>
      <c r="T597" s="4">
        <v>2</v>
      </c>
      <c r="U597" s="5" t="s">
        <v>5263</v>
      </c>
      <c r="V597" s="5" t="s">
        <v>5263</v>
      </c>
      <c r="W597" s="5" t="s">
        <v>5535</v>
      </c>
      <c r="X597" s="5" t="s">
        <v>5535</v>
      </c>
      <c r="Y597" s="4">
        <v>360</v>
      </c>
      <c r="Z597" s="4">
        <v>305</v>
      </c>
      <c r="AA597" s="4">
        <v>554</v>
      </c>
      <c r="AB597" s="4">
        <v>5</v>
      </c>
      <c r="AC597" s="4">
        <v>6</v>
      </c>
      <c r="AD597" s="4">
        <v>25</v>
      </c>
      <c r="AE597" s="4">
        <v>37</v>
      </c>
      <c r="AF597" s="4">
        <v>14</v>
      </c>
      <c r="AG597" s="4">
        <v>16</v>
      </c>
      <c r="AH597" s="4">
        <v>2</v>
      </c>
      <c r="AI597" s="4">
        <v>6</v>
      </c>
      <c r="AJ597" s="4">
        <v>11</v>
      </c>
      <c r="AK597" s="4">
        <v>18</v>
      </c>
      <c r="AL597" s="4">
        <v>4</v>
      </c>
      <c r="AM597" s="4">
        <v>5</v>
      </c>
      <c r="AN597" s="4">
        <v>0</v>
      </c>
      <c r="AO597" s="4">
        <v>1</v>
      </c>
      <c r="AP597" s="3" t="s">
        <v>61</v>
      </c>
      <c r="AQ597" s="3" t="s">
        <v>59</v>
      </c>
      <c r="AR597" s="6" t="str">
        <f>HYPERLINK("http://catalog.hathitrust.org/Record/007120387","HathiTrust Record")</f>
        <v>HathiTrust Record</v>
      </c>
      <c r="AS597" s="6" t="str">
        <f>HYPERLINK("https://creighton-primo.hosted.exlibrisgroup.com/primo-explore/search?tab=default_tab&amp;search_scope=EVERYTHING&amp;vid=01CRU&amp;lang=en_US&amp;offset=0&amp;query=any,contains,991001961229702656","Catalog Record")</f>
        <v>Catalog Record</v>
      </c>
      <c r="AT597" s="6" t="str">
        <f>HYPERLINK("http://www.worldcat.org/oclc/253494","WorldCat Record")</f>
        <v>WorldCat Record</v>
      </c>
      <c r="AU597" s="3" t="s">
        <v>7029</v>
      </c>
      <c r="AV597" s="3" t="s">
        <v>7030</v>
      </c>
      <c r="AW597" s="3" t="s">
        <v>7031</v>
      </c>
      <c r="AX597" s="3" t="s">
        <v>7031</v>
      </c>
      <c r="AY597" s="3" t="s">
        <v>7032</v>
      </c>
      <c r="AZ597" s="3" t="s">
        <v>75</v>
      </c>
      <c r="BC597" s="3" t="s">
        <v>7035</v>
      </c>
      <c r="BD597" s="3" t="s">
        <v>7036</v>
      </c>
    </row>
    <row r="598" spans="1:56" ht="44.25" customHeight="1" x14ac:dyDescent="0.25">
      <c r="A598" s="7" t="s">
        <v>61</v>
      </c>
      <c r="B598" s="2" t="s">
        <v>7037</v>
      </c>
      <c r="C598" s="2" t="s">
        <v>7038</v>
      </c>
      <c r="D598" s="2" t="s">
        <v>7039</v>
      </c>
      <c r="F598" s="3" t="s">
        <v>61</v>
      </c>
      <c r="G598" s="3" t="s">
        <v>60</v>
      </c>
      <c r="H598" s="3" t="s">
        <v>61</v>
      </c>
      <c r="I598" s="3" t="s">
        <v>61</v>
      </c>
      <c r="J598" s="3" t="s">
        <v>62</v>
      </c>
      <c r="K598" s="2" t="s">
        <v>7040</v>
      </c>
      <c r="L598" s="2" t="s">
        <v>7041</v>
      </c>
      <c r="M598" s="3" t="s">
        <v>291</v>
      </c>
      <c r="O598" s="3" t="s">
        <v>114</v>
      </c>
      <c r="P598" s="3" t="s">
        <v>235</v>
      </c>
      <c r="R598" s="3" t="s">
        <v>68</v>
      </c>
      <c r="S598" s="4">
        <v>2</v>
      </c>
      <c r="T598" s="4">
        <v>2</v>
      </c>
      <c r="U598" s="5" t="s">
        <v>5439</v>
      </c>
      <c r="V598" s="5" t="s">
        <v>5439</v>
      </c>
      <c r="W598" s="5" t="s">
        <v>5728</v>
      </c>
      <c r="X598" s="5" t="s">
        <v>5728</v>
      </c>
      <c r="Y598" s="4">
        <v>605</v>
      </c>
      <c r="Z598" s="4">
        <v>453</v>
      </c>
      <c r="AA598" s="4">
        <v>458</v>
      </c>
      <c r="AB598" s="4">
        <v>4</v>
      </c>
      <c r="AC598" s="4">
        <v>4</v>
      </c>
      <c r="AD598" s="4">
        <v>21</v>
      </c>
      <c r="AE598" s="4">
        <v>21</v>
      </c>
      <c r="AF598" s="4">
        <v>8</v>
      </c>
      <c r="AG598" s="4">
        <v>8</v>
      </c>
      <c r="AH598" s="4">
        <v>6</v>
      </c>
      <c r="AI598" s="4">
        <v>6</v>
      </c>
      <c r="AJ598" s="4">
        <v>12</v>
      </c>
      <c r="AK598" s="4">
        <v>12</v>
      </c>
      <c r="AL598" s="4">
        <v>3</v>
      </c>
      <c r="AM598" s="4">
        <v>3</v>
      </c>
      <c r="AN598" s="4">
        <v>0</v>
      </c>
      <c r="AO598" s="4">
        <v>0</v>
      </c>
      <c r="AP598" s="3" t="s">
        <v>61</v>
      </c>
      <c r="AQ598" s="3" t="s">
        <v>61</v>
      </c>
      <c r="AS598" s="6" t="str">
        <f>HYPERLINK("https://creighton-primo.hosted.exlibrisgroup.com/primo-explore/search?tab=default_tab&amp;search_scope=EVERYTHING&amp;vid=01CRU&amp;lang=en_US&amp;offset=0&amp;query=any,contains,991004884599702656","Catalog Record")</f>
        <v>Catalog Record</v>
      </c>
      <c r="AT598" s="6" t="str">
        <f>HYPERLINK("http://www.worldcat.org/oclc/5831020","WorldCat Record")</f>
        <v>WorldCat Record</v>
      </c>
      <c r="AU598" s="3" t="s">
        <v>7042</v>
      </c>
      <c r="AV598" s="3" t="s">
        <v>7043</v>
      </c>
      <c r="AW598" s="3" t="s">
        <v>7044</v>
      </c>
      <c r="AX598" s="3" t="s">
        <v>7044</v>
      </c>
      <c r="AY598" s="3" t="s">
        <v>7045</v>
      </c>
      <c r="AZ598" s="3" t="s">
        <v>75</v>
      </c>
      <c r="BB598" s="3" t="s">
        <v>7046</v>
      </c>
      <c r="BC598" s="3" t="s">
        <v>7047</v>
      </c>
      <c r="BD598" s="3" t="s">
        <v>7048</v>
      </c>
    </row>
    <row r="599" spans="1:56" ht="44.25" customHeight="1" x14ac:dyDescent="0.25">
      <c r="A599" s="7" t="s">
        <v>61</v>
      </c>
      <c r="B599" s="2" t="s">
        <v>7049</v>
      </c>
      <c r="C599" s="2" t="s">
        <v>7050</v>
      </c>
      <c r="D599" s="2" t="s">
        <v>7051</v>
      </c>
      <c r="F599" s="3" t="s">
        <v>61</v>
      </c>
      <c r="G599" s="3" t="s">
        <v>60</v>
      </c>
      <c r="H599" s="3" t="s">
        <v>61</v>
      </c>
      <c r="I599" s="3" t="s">
        <v>61</v>
      </c>
      <c r="J599" s="3" t="s">
        <v>62</v>
      </c>
      <c r="K599" s="2" t="s">
        <v>7052</v>
      </c>
      <c r="L599" s="2" t="s">
        <v>7053</v>
      </c>
      <c r="M599" s="3" t="s">
        <v>755</v>
      </c>
      <c r="O599" s="3" t="s">
        <v>114</v>
      </c>
      <c r="P599" s="3" t="s">
        <v>2432</v>
      </c>
      <c r="R599" s="3" t="s">
        <v>68</v>
      </c>
      <c r="S599" s="4">
        <v>1</v>
      </c>
      <c r="T599" s="4">
        <v>1</v>
      </c>
      <c r="U599" s="5" t="s">
        <v>7054</v>
      </c>
      <c r="V599" s="5" t="s">
        <v>7054</v>
      </c>
      <c r="W599" s="5" t="s">
        <v>5535</v>
      </c>
      <c r="X599" s="5" t="s">
        <v>5535</v>
      </c>
      <c r="Y599" s="4">
        <v>827</v>
      </c>
      <c r="Z599" s="4">
        <v>680</v>
      </c>
      <c r="AA599" s="4">
        <v>779</v>
      </c>
      <c r="AB599" s="4">
        <v>6</v>
      </c>
      <c r="AC599" s="4">
        <v>8</v>
      </c>
      <c r="AD599" s="4">
        <v>36</v>
      </c>
      <c r="AE599" s="4">
        <v>41</v>
      </c>
      <c r="AF599" s="4">
        <v>12</v>
      </c>
      <c r="AG599" s="4">
        <v>15</v>
      </c>
      <c r="AH599" s="4">
        <v>9</v>
      </c>
      <c r="AI599" s="4">
        <v>10</v>
      </c>
      <c r="AJ599" s="4">
        <v>18</v>
      </c>
      <c r="AK599" s="4">
        <v>18</v>
      </c>
      <c r="AL599" s="4">
        <v>5</v>
      </c>
      <c r="AM599" s="4">
        <v>7</v>
      </c>
      <c r="AN599" s="4">
        <v>1</v>
      </c>
      <c r="AO599" s="4">
        <v>1</v>
      </c>
      <c r="AP599" s="3" t="s">
        <v>61</v>
      </c>
      <c r="AQ599" s="3" t="s">
        <v>59</v>
      </c>
      <c r="AR599" s="6" t="str">
        <f>HYPERLINK("http://catalog.hathitrust.org/Record/000443871","HathiTrust Record")</f>
        <v>HathiTrust Record</v>
      </c>
      <c r="AS599" s="6" t="str">
        <f>HYPERLINK("https://creighton-primo.hosted.exlibrisgroup.com/primo-explore/search?tab=default_tab&amp;search_scope=EVERYTHING&amp;vid=01CRU&amp;lang=en_US&amp;offset=0&amp;query=any,contains,991000783599702656","Catalog Record")</f>
        <v>Catalog Record</v>
      </c>
      <c r="AT599" s="6" t="str">
        <f>HYPERLINK("http://www.worldcat.org/oclc/135773","WorldCat Record")</f>
        <v>WorldCat Record</v>
      </c>
      <c r="AU599" s="3" t="s">
        <v>7055</v>
      </c>
      <c r="AV599" s="3" t="s">
        <v>7056</v>
      </c>
      <c r="AW599" s="3" t="s">
        <v>7057</v>
      </c>
      <c r="AX599" s="3" t="s">
        <v>7057</v>
      </c>
      <c r="AY599" s="3" t="s">
        <v>7058</v>
      </c>
      <c r="AZ599" s="3" t="s">
        <v>75</v>
      </c>
      <c r="BB599" s="3" t="s">
        <v>7059</v>
      </c>
      <c r="BC599" s="3" t="s">
        <v>7060</v>
      </c>
      <c r="BD599" s="3" t="s">
        <v>7061</v>
      </c>
    </row>
    <row r="600" spans="1:56" ht="44.25" customHeight="1" x14ac:dyDescent="0.25">
      <c r="A600" s="7" t="s">
        <v>61</v>
      </c>
      <c r="B600" s="2" t="s">
        <v>7062</v>
      </c>
      <c r="C600" s="2" t="s">
        <v>7063</v>
      </c>
      <c r="D600" s="2" t="s">
        <v>7064</v>
      </c>
      <c r="F600" s="3" t="s">
        <v>61</v>
      </c>
      <c r="G600" s="3" t="s">
        <v>60</v>
      </c>
      <c r="H600" s="3" t="s">
        <v>61</v>
      </c>
      <c r="I600" s="3" t="s">
        <v>61</v>
      </c>
      <c r="J600" s="3" t="s">
        <v>62</v>
      </c>
      <c r="K600" s="2" t="s">
        <v>7065</v>
      </c>
      <c r="L600" s="2" t="s">
        <v>7066</v>
      </c>
      <c r="M600" s="3" t="s">
        <v>144</v>
      </c>
      <c r="N600" s="2" t="s">
        <v>634</v>
      </c>
      <c r="O600" s="3" t="s">
        <v>114</v>
      </c>
      <c r="P600" s="3" t="s">
        <v>235</v>
      </c>
      <c r="Q600" s="2" t="s">
        <v>7067</v>
      </c>
      <c r="R600" s="3" t="s">
        <v>68</v>
      </c>
      <c r="S600" s="4">
        <v>3</v>
      </c>
      <c r="T600" s="4">
        <v>3</v>
      </c>
      <c r="U600" s="5" t="s">
        <v>6939</v>
      </c>
      <c r="V600" s="5" t="s">
        <v>6939</v>
      </c>
      <c r="W600" s="5" t="s">
        <v>7068</v>
      </c>
      <c r="X600" s="5" t="s">
        <v>7068</v>
      </c>
      <c r="Y600" s="4">
        <v>282</v>
      </c>
      <c r="Z600" s="4">
        <v>259</v>
      </c>
      <c r="AA600" s="4">
        <v>418</v>
      </c>
      <c r="AB600" s="4">
        <v>4</v>
      </c>
      <c r="AC600" s="4">
        <v>4</v>
      </c>
      <c r="AD600" s="4">
        <v>13</v>
      </c>
      <c r="AE600" s="4">
        <v>20</v>
      </c>
      <c r="AF600" s="4">
        <v>2</v>
      </c>
      <c r="AG600" s="4">
        <v>3</v>
      </c>
      <c r="AH600" s="4">
        <v>1</v>
      </c>
      <c r="AI600" s="4">
        <v>4</v>
      </c>
      <c r="AJ600" s="4">
        <v>9</v>
      </c>
      <c r="AK600" s="4">
        <v>11</v>
      </c>
      <c r="AL600" s="4">
        <v>3</v>
      </c>
      <c r="AM600" s="4">
        <v>3</v>
      </c>
      <c r="AN600" s="4">
        <v>1</v>
      </c>
      <c r="AO600" s="4">
        <v>2</v>
      </c>
      <c r="AP600" s="3" t="s">
        <v>59</v>
      </c>
      <c r="AQ600" s="3" t="s">
        <v>61</v>
      </c>
      <c r="AR600" s="6" t="str">
        <f>HYPERLINK("http://catalog.hathitrust.org/Record/000805711","HathiTrust Record")</f>
        <v>HathiTrust Record</v>
      </c>
      <c r="AS600" s="6" t="str">
        <f>HYPERLINK("https://creighton-primo.hosted.exlibrisgroup.com/primo-explore/search?tab=default_tab&amp;search_scope=EVERYTHING&amp;vid=01CRU&amp;lang=en_US&amp;offset=0&amp;query=any,contains,991004581959702656","Catalog Record")</f>
        <v>Catalog Record</v>
      </c>
      <c r="AT600" s="6" t="str">
        <f>HYPERLINK("http://www.worldcat.org/oclc/4064257","WorldCat Record")</f>
        <v>WorldCat Record</v>
      </c>
      <c r="AU600" s="3" t="s">
        <v>7069</v>
      </c>
      <c r="AV600" s="3" t="s">
        <v>7070</v>
      </c>
      <c r="AW600" s="3" t="s">
        <v>7071</v>
      </c>
      <c r="AX600" s="3" t="s">
        <v>7071</v>
      </c>
      <c r="AY600" s="3" t="s">
        <v>7072</v>
      </c>
      <c r="AZ600" s="3" t="s">
        <v>75</v>
      </c>
      <c r="BC600" s="3" t="s">
        <v>7073</v>
      </c>
      <c r="BD600" s="3" t="s">
        <v>7074</v>
      </c>
    </row>
    <row r="601" spans="1:56" ht="44.25" customHeight="1" x14ac:dyDescent="0.25">
      <c r="A601" s="7" t="s">
        <v>61</v>
      </c>
      <c r="B601" s="2" t="s">
        <v>7075</v>
      </c>
      <c r="C601" s="2" t="s">
        <v>7076</v>
      </c>
      <c r="D601" s="2" t="s">
        <v>7077</v>
      </c>
      <c r="F601" s="3" t="s">
        <v>61</v>
      </c>
      <c r="G601" s="3" t="s">
        <v>60</v>
      </c>
      <c r="H601" s="3" t="s">
        <v>61</v>
      </c>
      <c r="I601" s="3" t="s">
        <v>61</v>
      </c>
      <c r="J601" s="3" t="s">
        <v>62</v>
      </c>
      <c r="K601" s="2" t="s">
        <v>7078</v>
      </c>
      <c r="L601" s="2" t="s">
        <v>7079</v>
      </c>
      <c r="M601" s="3" t="s">
        <v>707</v>
      </c>
      <c r="O601" s="3" t="s">
        <v>114</v>
      </c>
      <c r="P601" s="3" t="s">
        <v>192</v>
      </c>
      <c r="R601" s="3" t="s">
        <v>68</v>
      </c>
      <c r="S601" s="4">
        <v>2</v>
      </c>
      <c r="T601" s="4">
        <v>2</v>
      </c>
      <c r="U601" s="5" t="s">
        <v>7080</v>
      </c>
      <c r="V601" s="5" t="s">
        <v>7080</v>
      </c>
      <c r="W601" s="5" t="s">
        <v>7001</v>
      </c>
      <c r="X601" s="5" t="s">
        <v>7001</v>
      </c>
      <c r="Y601" s="4">
        <v>616</v>
      </c>
      <c r="Z601" s="4">
        <v>460</v>
      </c>
      <c r="AA601" s="4">
        <v>467</v>
      </c>
      <c r="AB601" s="4">
        <v>4</v>
      </c>
      <c r="AC601" s="4">
        <v>4</v>
      </c>
      <c r="AD601" s="4">
        <v>23</v>
      </c>
      <c r="AE601" s="4">
        <v>23</v>
      </c>
      <c r="AF601" s="4">
        <v>8</v>
      </c>
      <c r="AG601" s="4">
        <v>8</v>
      </c>
      <c r="AH601" s="4">
        <v>7</v>
      </c>
      <c r="AI601" s="4">
        <v>7</v>
      </c>
      <c r="AJ601" s="4">
        <v>11</v>
      </c>
      <c r="AK601" s="4">
        <v>11</v>
      </c>
      <c r="AL601" s="4">
        <v>3</v>
      </c>
      <c r="AM601" s="4">
        <v>3</v>
      </c>
      <c r="AN601" s="4">
        <v>0</v>
      </c>
      <c r="AO601" s="4">
        <v>0</v>
      </c>
      <c r="AP601" s="3" t="s">
        <v>61</v>
      </c>
      <c r="AQ601" s="3" t="s">
        <v>59</v>
      </c>
      <c r="AR601" s="6" t="str">
        <f>HYPERLINK("http://catalog.hathitrust.org/Record/000445197","HathiTrust Record")</f>
        <v>HathiTrust Record</v>
      </c>
      <c r="AS601" s="6" t="str">
        <f>HYPERLINK("https://creighton-primo.hosted.exlibrisgroup.com/primo-explore/search?tab=default_tab&amp;search_scope=EVERYTHING&amp;vid=01CRU&amp;lang=en_US&amp;offset=0&amp;query=any,contains,991002419269702656","Catalog Record")</f>
        <v>Catalog Record</v>
      </c>
      <c r="AT601" s="6" t="str">
        <f>HYPERLINK("http://www.worldcat.org/oclc/342277","WorldCat Record")</f>
        <v>WorldCat Record</v>
      </c>
      <c r="AU601" s="3" t="s">
        <v>7081</v>
      </c>
      <c r="AV601" s="3" t="s">
        <v>7082</v>
      </c>
      <c r="AW601" s="3" t="s">
        <v>7083</v>
      </c>
      <c r="AX601" s="3" t="s">
        <v>7083</v>
      </c>
      <c r="AY601" s="3" t="s">
        <v>7084</v>
      </c>
      <c r="AZ601" s="3" t="s">
        <v>75</v>
      </c>
      <c r="BC601" s="3" t="s">
        <v>7085</v>
      </c>
      <c r="BD601" s="3" t="s">
        <v>7086</v>
      </c>
    </row>
    <row r="602" spans="1:56" ht="44.25" customHeight="1" x14ac:dyDescent="0.25">
      <c r="A602" s="7" t="s">
        <v>61</v>
      </c>
      <c r="B602" s="2" t="s">
        <v>7087</v>
      </c>
      <c r="C602" s="2" t="s">
        <v>7088</v>
      </c>
      <c r="D602" s="2" t="s">
        <v>7089</v>
      </c>
      <c r="F602" s="3" t="s">
        <v>61</v>
      </c>
      <c r="G602" s="3" t="s">
        <v>60</v>
      </c>
      <c r="H602" s="3" t="s">
        <v>61</v>
      </c>
      <c r="I602" s="3" t="s">
        <v>61</v>
      </c>
      <c r="J602" s="3" t="s">
        <v>62</v>
      </c>
      <c r="K602" s="2" t="s">
        <v>7090</v>
      </c>
      <c r="L602" s="2" t="s">
        <v>7091</v>
      </c>
      <c r="M602" s="3" t="s">
        <v>6007</v>
      </c>
      <c r="O602" s="3" t="s">
        <v>114</v>
      </c>
      <c r="P602" s="3" t="s">
        <v>115</v>
      </c>
      <c r="R602" s="3" t="s">
        <v>68</v>
      </c>
      <c r="S602" s="4">
        <v>2</v>
      </c>
      <c r="T602" s="4">
        <v>2</v>
      </c>
      <c r="U602" s="5" t="s">
        <v>5063</v>
      </c>
      <c r="V602" s="5" t="s">
        <v>5063</v>
      </c>
      <c r="W602" s="5" t="s">
        <v>5535</v>
      </c>
      <c r="X602" s="5" t="s">
        <v>5535</v>
      </c>
      <c r="Y602" s="4">
        <v>269</v>
      </c>
      <c r="Z602" s="4">
        <v>251</v>
      </c>
      <c r="AA602" s="4">
        <v>308</v>
      </c>
      <c r="AB602" s="4">
        <v>2</v>
      </c>
      <c r="AC602" s="4">
        <v>2</v>
      </c>
      <c r="AD602" s="4">
        <v>8</v>
      </c>
      <c r="AE602" s="4">
        <v>11</v>
      </c>
      <c r="AF602" s="4">
        <v>2</v>
      </c>
      <c r="AG602" s="4">
        <v>3</v>
      </c>
      <c r="AH602" s="4">
        <v>1</v>
      </c>
      <c r="AI602" s="4">
        <v>2</v>
      </c>
      <c r="AJ602" s="4">
        <v>5</v>
      </c>
      <c r="AK602" s="4">
        <v>6</v>
      </c>
      <c r="AL602" s="4">
        <v>1</v>
      </c>
      <c r="AM602" s="4">
        <v>1</v>
      </c>
      <c r="AN602" s="4">
        <v>0</v>
      </c>
      <c r="AO602" s="4">
        <v>0</v>
      </c>
      <c r="AP602" s="3" t="s">
        <v>59</v>
      </c>
      <c r="AQ602" s="3" t="s">
        <v>61</v>
      </c>
      <c r="AR602" s="6" t="str">
        <f>HYPERLINK("http://catalog.hathitrust.org/Record/000488146","HathiTrust Record")</f>
        <v>HathiTrust Record</v>
      </c>
      <c r="AS602" s="6" t="str">
        <f>HYPERLINK("https://creighton-primo.hosted.exlibrisgroup.com/primo-explore/search?tab=default_tab&amp;search_scope=EVERYTHING&amp;vid=01CRU&amp;lang=en_US&amp;offset=0&amp;query=any,contains,991002794199702656","Catalog Record")</f>
        <v>Catalog Record</v>
      </c>
      <c r="AT602" s="6" t="str">
        <f>HYPERLINK("http://www.worldcat.org/oclc/444662","WorldCat Record")</f>
        <v>WorldCat Record</v>
      </c>
      <c r="AU602" s="3" t="s">
        <v>7092</v>
      </c>
      <c r="AV602" s="3" t="s">
        <v>7093</v>
      </c>
      <c r="AW602" s="3" t="s">
        <v>7094</v>
      </c>
      <c r="AX602" s="3" t="s">
        <v>7094</v>
      </c>
      <c r="AY602" s="3" t="s">
        <v>7095</v>
      </c>
      <c r="AZ602" s="3" t="s">
        <v>75</v>
      </c>
      <c r="BC602" s="3" t="s">
        <v>7096</v>
      </c>
      <c r="BD602" s="3" t="s">
        <v>7097</v>
      </c>
    </row>
    <row r="603" spans="1:56" ht="44.25" customHeight="1" x14ac:dyDescent="0.25">
      <c r="A603" s="7" t="s">
        <v>61</v>
      </c>
      <c r="B603" s="2" t="s">
        <v>7098</v>
      </c>
      <c r="C603" s="2" t="s">
        <v>7099</v>
      </c>
      <c r="D603" s="2" t="s">
        <v>7100</v>
      </c>
      <c r="F603" s="3" t="s">
        <v>61</v>
      </c>
      <c r="G603" s="3" t="s">
        <v>60</v>
      </c>
      <c r="H603" s="3" t="s">
        <v>61</v>
      </c>
      <c r="I603" s="3" t="s">
        <v>61</v>
      </c>
      <c r="J603" s="3" t="s">
        <v>62</v>
      </c>
      <c r="K603" s="2" t="s">
        <v>7101</v>
      </c>
      <c r="L603" s="2" t="s">
        <v>7102</v>
      </c>
      <c r="M603" s="3" t="s">
        <v>3279</v>
      </c>
      <c r="N603" s="2" t="s">
        <v>7103</v>
      </c>
      <c r="O603" s="3" t="s">
        <v>114</v>
      </c>
      <c r="P603" s="3" t="s">
        <v>649</v>
      </c>
      <c r="R603" s="3" t="s">
        <v>68</v>
      </c>
      <c r="S603" s="4">
        <v>5</v>
      </c>
      <c r="T603" s="4">
        <v>5</v>
      </c>
      <c r="U603" s="5" t="s">
        <v>7080</v>
      </c>
      <c r="V603" s="5" t="s">
        <v>7080</v>
      </c>
      <c r="W603" s="5" t="s">
        <v>7001</v>
      </c>
      <c r="X603" s="5" t="s">
        <v>7001</v>
      </c>
      <c r="Y603" s="4">
        <v>148</v>
      </c>
      <c r="Z603" s="4">
        <v>128</v>
      </c>
      <c r="AA603" s="4">
        <v>503</v>
      </c>
      <c r="AB603" s="4">
        <v>3</v>
      </c>
      <c r="AC603" s="4">
        <v>5</v>
      </c>
      <c r="AD603" s="4">
        <v>10</v>
      </c>
      <c r="AE603" s="4">
        <v>32</v>
      </c>
      <c r="AF603" s="4">
        <v>1</v>
      </c>
      <c r="AG603" s="4">
        <v>10</v>
      </c>
      <c r="AH603" s="4">
        <v>5</v>
      </c>
      <c r="AI603" s="4">
        <v>9</v>
      </c>
      <c r="AJ603" s="4">
        <v>5</v>
      </c>
      <c r="AK603" s="4">
        <v>15</v>
      </c>
      <c r="AL603" s="4">
        <v>2</v>
      </c>
      <c r="AM603" s="4">
        <v>4</v>
      </c>
      <c r="AN603" s="4">
        <v>0</v>
      </c>
      <c r="AO603" s="4">
        <v>4</v>
      </c>
      <c r="AP603" s="3" t="s">
        <v>61</v>
      </c>
      <c r="AQ603" s="3" t="s">
        <v>59</v>
      </c>
      <c r="AR603" s="6" t="str">
        <f>HYPERLINK("http://catalog.hathitrust.org/Record/004400462","HathiTrust Record")</f>
        <v>HathiTrust Record</v>
      </c>
      <c r="AS603" s="6" t="str">
        <f>HYPERLINK("https://creighton-primo.hosted.exlibrisgroup.com/primo-explore/search?tab=default_tab&amp;search_scope=EVERYTHING&amp;vid=01CRU&amp;lang=en_US&amp;offset=0&amp;query=any,contains,991001239339702656","Catalog Record")</f>
        <v>Catalog Record</v>
      </c>
      <c r="AT603" s="6" t="str">
        <f>HYPERLINK("http://www.worldcat.org/oclc/207833","WorldCat Record")</f>
        <v>WorldCat Record</v>
      </c>
      <c r="AU603" s="3" t="s">
        <v>7104</v>
      </c>
      <c r="AV603" s="3" t="s">
        <v>7105</v>
      </c>
      <c r="AW603" s="3" t="s">
        <v>7106</v>
      </c>
      <c r="AX603" s="3" t="s">
        <v>7106</v>
      </c>
      <c r="AY603" s="3" t="s">
        <v>7107</v>
      </c>
      <c r="AZ603" s="3" t="s">
        <v>75</v>
      </c>
      <c r="BB603" s="3" t="s">
        <v>7108</v>
      </c>
      <c r="BC603" s="3" t="s">
        <v>7109</v>
      </c>
      <c r="BD603" s="3" t="s">
        <v>7110</v>
      </c>
    </row>
    <row r="604" spans="1:56" ht="44.25" customHeight="1" x14ac:dyDescent="0.25">
      <c r="A604" s="7" t="s">
        <v>61</v>
      </c>
      <c r="B604" s="2" t="s">
        <v>7111</v>
      </c>
      <c r="C604" s="2" t="s">
        <v>7112</v>
      </c>
      <c r="D604" s="2" t="s">
        <v>7113</v>
      </c>
      <c r="F604" s="3" t="s">
        <v>61</v>
      </c>
      <c r="G604" s="3" t="s">
        <v>60</v>
      </c>
      <c r="H604" s="3" t="s">
        <v>61</v>
      </c>
      <c r="I604" s="3" t="s">
        <v>61</v>
      </c>
      <c r="J604" s="3" t="s">
        <v>62</v>
      </c>
      <c r="K604" s="2" t="s">
        <v>7114</v>
      </c>
      <c r="L604" s="2" t="s">
        <v>7115</v>
      </c>
      <c r="M604" s="3" t="s">
        <v>422</v>
      </c>
      <c r="O604" s="3" t="s">
        <v>114</v>
      </c>
      <c r="P604" s="3" t="s">
        <v>192</v>
      </c>
      <c r="Q604" s="2" t="s">
        <v>7116</v>
      </c>
      <c r="R604" s="3" t="s">
        <v>68</v>
      </c>
      <c r="S604" s="4">
        <v>1</v>
      </c>
      <c r="T604" s="4">
        <v>1</v>
      </c>
      <c r="U604" s="5" t="s">
        <v>7117</v>
      </c>
      <c r="V604" s="5" t="s">
        <v>7117</v>
      </c>
      <c r="W604" s="5" t="s">
        <v>7118</v>
      </c>
      <c r="X604" s="5" t="s">
        <v>7118</v>
      </c>
      <c r="Y604" s="4">
        <v>366</v>
      </c>
      <c r="Z604" s="4">
        <v>223</v>
      </c>
      <c r="AA604" s="4">
        <v>581</v>
      </c>
      <c r="AB604" s="4">
        <v>4</v>
      </c>
      <c r="AC604" s="4">
        <v>6</v>
      </c>
      <c r="AD604" s="4">
        <v>18</v>
      </c>
      <c r="AE604" s="4">
        <v>30</v>
      </c>
      <c r="AF604" s="4">
        <v>5</v>
      </c>
      <c r="AG604" s="4">
        <v>9</v>
      </c>
      <c r="AH604" s="4">
        <v>5</v>
      </c>
      <c r="AI604" s="4">
        <v>8</v>
      </c>
      <c r="AJ604" s="4">
        <v>11</v>
      </c>
      <c r="AK604" s="4">
        <v>14</v>
      </c>
      <c r="AL604" s="4">
        <v>3</v>
      </c>
      <c r="AM604" s="4">
        <v>5</v>
      </c>
      <c r="AN604" s="4">
        <v>0</v>
      </c>
      <c r="AO604" s="4">
        <v>1</v>
      </c>
      <c r="AP604" s="3" t="s">
        <v>61</v>
      </c>
      <c r="AQ604" s="3" t="s">
        <v>59</v>
      </c>
      <c r="AR604" s="6" t="str">
        <f>HYPERLINK("http://catalog.hathitrust.org/Record/004022445","HathiTrust Record")</f>
        <v>HathiTrust Record</v>
      </c>
      <c r="AS604" s="6" t="str">
        <f>HYPERLINK("https://creighton-primo.hosted.exlibrisgroup.com/primo-explore/search?tab=default_tab&amp;search_scope=EVERYTHING&amp;vid=01CRU&amp;lang=en_US&amp;offset=0&amp;query=any,contains,991002972239702656","Catalog Record")</f>
        <v>Catalog Record</v>
      </c>
      <c r="AT604" s="6" t="str">
        <f>HYPERLINK("http://www.worldcat.org/oclc/39801802","WorldCat Record")</f>
        <v>WorldCat Record</v>
      </c>
      <c r="AU604" s="3" t="s">
        <v>7119</v>
      </c>
      <c r="AV604" s="3" t="s">
        <v>7120</v>
      </c>
      <c r="AW604" s="3" t="s">
        <v>7121</v>
      </c>
      <c r="AX604" s="3" t="s">
        <v>7121</v>
      </c>
      <c r="AY604" s="3" t="s">
        <v>7122</v>
      </c>
      <c r="AZ604" s="3" t="s">
        <v>75</v>
      </c>
      <c r="BB604" s="3" t="s">
        <v>7123</v>
      </c>
      <c r="BC604" s="3" t="s">
        <v>7124</v>
      </c>
      <c r="BD604" s="3" t="s">
        <v>7125</v>
      </c>
    </row>
    <row r="605" spans="1:56" ht="44.25" customHeight="1" x14ac:dyDescent="0.25">
      <c r="A605" s="7" t="s">
        <v>61</v>
      </c>
      <c r="B605" s="2" t="s">
        <v>7126</v>
      </c>
      <c r="C605" s="2" t="s">
        <v>7127</v>
      </c>
      <c r="D605" s="2" t="s">
        <v>7128</v>
      </c>
      <c r="F605" s="3" t="s">
        <v>61</v>
      </c>
      <c r="G605" s="3" t="s">
        <v>60</v>
      </c>
      <c r="H605" s="3" t="s">
        <v>61</v>
      </c>
      <c r="I605" s="3" t="s">
        <v>61</v>
      </c>
      <c r="J605" s="3" t="s">
        <v>62</v>
      </c>
      <c r="K605" s="2" t="s">
        <v>7129</v>
      </c>
      <c r="L605" s="2" t="s">
        <v>7130</v>
      </c>
      <c r="M605" s="3" t="s">
        <v>707</v>
      </c>
      <c r="O605" s="3" t="s">
        <v>114</v>
      </c>
      <c r="P605" s="3" t="s">
        <v>1114</v>
      </c>
      <c r="Q605" s="2" t="s">
        <v>7131</v>
      </c>
      <c r="R605" s="3" t="s">
        <v>68</v>
      </c>
      <c r="S605" s="4">
        <v>1</v>
      </c>
      <c r="T605" s="4">
        <v>1</v>
      </c>
      <c r="U605" s="5" t="s">
        <v>7132</v>
      </c>
      <c r="V605" s="5" t="s">
        <v>7132</v>
      </c>
      <c r="W605" s="5" t="s">
        <v>7133</v>
      </c>
      <c r="X605" s="5" t="s">
        <v>7133</v>
      </c>
      <c r="Y605" s="4">
        <v>850</v>
      </c>
      <c r="Z605" s="4">
        <v>736</v>
      </c>
      <c r="AA605" s="4">
        <v>818</v>
      </c>
      <c r="AB605" s="4">
        <v>4</v>
      </c>
      <c r="AC605" s="4">
        <v>5</v>
      </c>
      <c r="AD605" s="4">
        <v>33</v>
      </c>
      <c r="AE605" s="4">
        <v>36</v>
      </c>
      <c r="AF605" s="4">
        <v>15</v>
      </c>
      <c r="AG605" s="4">
        <v>16</v>
      </c>
      <c r="AH605" s="4">
        <v>7</v>
      </c>
      <c r="AI605" s="4">
        <v>8</v>
      </c>
      <c r="AJ605" s="4">
        <v>17</v>
      </c>
      <c r="AK605" s="4">
        <v>18</v>
      </c>
      <c r="AL605" s="4">
        <v>3</v>
      </c>
      <c r="AM605" s="4">
        <v>4</v>
      </c>
      <c r="AN605" s="4">
        <v>0</v>
      </c>
      <c r="AO605" s="4">
        <v>0</v>
      </c>
      <c r="AP605" s="3" t="s">
        <v>61</v>
      </c>
      <c r="AQ605" s="3" t="s">
        <v>59</v>
      </c>
      <c r="AR605" s="6" t="str">
        <f>HYPERLINK("http://catalog.hathitrust.org/Record/001110315","HathiTrust Record")</f>
        <v>HathiTrust Record</v>
      </c>
      <c r="AS605" s="6" t="str">
        <f>HYPERLINK("https://creighton-primo.hosted.exlibrisgroup.com/primo-explore/search?tab=default_tab&amp;search_scope=EVERYTHING&amp;vid=01CRU&amp;lang=en_US&amp;offset=0&amp;query=any,contains,991002658859702656","Catalog Record")</f>
        <v>Catalog Record</v>
      </c>
      <c r="AT605" s="6" t="str">
        <f>HYPERLINK("http://www.worldcat.org/oclc/390688","WorldCat Record")</f>
        <v>WorldCat Record</v>
      </c>
      <c r="AU605" s="3" t="s">
        <v>7134</v>
      </c>
      <c r="AV605" s="3" t="s">
        <v>7135</v>
      </c>
      <c r="AW605" s="3" t="s">
        <v>7136</v>
      </c>
      <c r="AX605" s="3" t="s">
        <v>7136</v>
      </c>
      <c r="AY605" s="3" t="s">
        <v>7137</v>
      </c>
      <c r="AZ605" s="3" t="s">
        <v>75</v>
      </c>
      <c r="BC605" s="3" t="s">
        <v>7138</v>
      </c>
      <c r="BD605" s="3" t="s">
        <v>7139</v>
      </c>
    </row>
    <row r="606" spans="1:56" ht="44.25" customHeight="1" x14ac:dyDescent="0.25">
      <c r="A606" s="7" t="s">
        <v>61</v>
      </c>
      <c r="B606" s="2" t="s">
        <v>7140</v>
      </c>
      <c r="C606" s="2" t="s">
        <v>7141</v>
      </c>
      <c r="D606" s="2" t="s">
        <v>7142</v>
      </c>
      <c r="F606" s="3" t="s">
        <v>61</v>
      </c>
      <c r="G606" s="3" t="s">
        <v>60</v>
      </c>
      <c r="H606" s="3" t="s">
        <v>61</v>
      </c>
      <c r="I606" s="3" t="s">
        <v>61</v>
      </c>
      <c r="J606" s="3" t="s">
        <v>62</v>
      </c>
      <c r="K606" s="2" t="s">
        <v>7143</v>
      </c>
      <c r="L606" s="2" t="s">
        <v>7144</v>
      </c>
      <c r="M606" s="3" t="s">
        <v>291</v>
      </c>
      <c r="O606" s="3" t="s">
        <v>114</v>
      </c>
      <c r="P606" s="3" t="s">
        <v>364</v>
      </c>
      <c r="R606" s="3" t="s">
        <v>68</v>
      </c>
      <c r="S606" s="4">
        <v>2</v>
      </c>
      <c r="T606" s="4">
        <v>2</v>
      </c>
      <c r="U606" s="5" t="s">
        <v>7145</v>
      </c>
      <c r="V606" s="5" t="s">
        <v>7145</v>
      </c>
      <c r="W606" s="5" t="s">
        <v>337</v>
      </c>
      <c r="X606" s="5" t="s">
        <v>337</v>
      </c>
      <c r="Y606" s="4">
        <v>1046</v>
      </c>
      <c r="Z606" s="4">
        <v>877</v>
      </c>
      <c r="AA606" s="4">
        <v>922</v>
      </c>
      <c r="AB606" s="4">
        <v>7</v>
      </c>
      <c r="AC606" s="4">
        <v>7</v>
      </c>
      <c r="AD606" s="4">
        <v>38</v>
      </c>
      <c r="AE606" s="4">
        <v>39</v>
      </c>
      <c r="AF606" s="4">
        <v>13</v>
      </c>
      <c r="AG606" s="4">
        <v>14</v>
      </c>
      <c r="AH606" s="4">
        <v>9</v>
      </c>
      <c r="AI606" s="4">
        <v>9</v>
      </c>
      <c r="AJ606" s="4">
        <v>21</v>
      </c>
      <c r="AK606" s="4">
        <v>21</v>
      </c>
      <c r="AL606" s="4">
        <v>6</v>
      </c>
      <c r="AM606" s="4">
        <v>6</v>
      </c>
      <c r="AN606" s="4">
        <v>0</v>
      </c>
      <c r="AO606" s="4">
        <v>0</v>
      </c>
      <c r="AP606" s="3" t="s">
        <v>61</v>
      </c>
      <c r="AQ606" s="3" t="s">
        <v>61</v>
      </c>
      <c r="AS606" s="6" t="str">
        <f>HYPERLINK("https://creighton-primo.hosted.exlibrisgroup.com/primo-explore/search?tab=default_tab&amp;search_scope=EVERYTHING&amp;vid=01CRU&amp;lang=en_US&amp;offset=0&amp;query=any,contains,991004929719702656","Catalog Record")</f>
        <v>Catalog Record</v>
      </c>
      <c r="AT606" s="6" t="str">
        <f>HYPERLINK("http://www.worldcat.org/oclc/6092168","WorldCat Record")</f>
        <v>WorldCat Record</v>
      </c>
      <c r="AU606" s="3" t="s">
        <v>7146</v>
      </c>
      <c r="AV606" s="3" t="s">
        <v>7147</v>
      </c>
      <c r="AW606" s="3" t="s">
        <v>7148</v>
      </c>
      <c r="AX606" s="3" t="s">
        <v>7148</v>
      </c>
      <c r="AY606" s="3" t="s">
        <v>7149</v>
      </c>
      <c r="AZ606" s="3" t="s">
        <v>75</v>
      </c>
      <c r="BB606" s="3" t="s">
        <v>7150</v>
      </c>
      <c r="BC606" s="3" t="s">
        <v>7151</v>
      </c>
      <c r="BD606" s="3" t="s">
        <v>7152</v>
      </c>
    </row>
    <row r="607" spans="1:56" ht="44.25" customHeight="1" x14ac:dyDescent="0.25">
      <c r="A607" s="7" t="s">
        <v>61</v>
      </c>
      <c r="B607" s="2" t="s">
        <v>7153</v>
      </c>
      <c r="C607" s="2" t="s">
        <v>7154</v>
      </c>
      <c r="D607" s="2" t="s">
        <v>7155</v>
      </c>
      <c r="F607" s="3" t="s">
        <v>61</v>
      </c>
      <c r="G607" s="3" t="s">
        <v>60</v>
      </c>
      <c r="H607" s="3" t="s">
        <v>61</v>
      </c>
      <c r="I607" s="3" t="s">
        <v>61</v>
      </c>
      <c r="J607" s="3" t="s">
        <v>62</v>
      </c>
      <c r="K607" s="2" t="s">
        <v>7156</v>
      </c>
      <c r="L607" s="2" t="s">
        <v>7157</v>
      </c>
      <c r="M607" s="3" t="s">
        <v>7158</v>
      </c>
      <c r="O607" s="3" t="s">
        <v>1715</v>
      </c>
      <c r="P607" s="3" t="s">
        <v>1716</v>
      </c>
      <c r="R607" s="3" t="s">
        <v>68</v>
      </c>
      <c r="S607" s="4">
        <v>1</v>
      </c>
      <c r="T607" s="4">
        <v>1</v>
      </c>
      <c r="U607" s="5" t="s">
        <v>7159</v>
      </c>
      <c r="V607" s="5" t="s">
        <v>7159</v>
      </c>
      <c r="W607" s="5" t="s">
        <v>1090</v>
      </c>
      <c r="X607" s="5" t="s">
        <v>1090</v>
      </c>
      <c r="Y607" s="4">
        <v>82</v>
      </c>
      <c r="Z607" s="4">
        <v>16</v>
      </c>
      <c r="AA607" s="4">
        <v>56</v>
      </c>
      <c r="AB607" s="4">
        <v>1</v>
      </c>
      <c r="AC607" s="4">
        <v>1</v>
      </c>
      <c r="AD607" s="4">
        <v>0</v>
      </c>
      <c r="AE607" s="4">
        <v>1</v>
      </c>
      <c r="AF607" s="4">
        <v>0</v>
      </c>
      <c r="AG607" s="4">
        <v>0</v>
      </c>
      <c r="AH607" s="4">
        <v>0</v>
      </c>
      <c r="AI607" s="4">
        <v>1</v>
      </c>
      <c r="AJ607" s="4">
        <v>0</v>
      </c>
      <c r="AK607" s="4">
        <v>1</v>
      </c>
      <c r="AL607" s="4">
        <v>0</v>
      </c>
      <c r="AM607" s="4">
        <v>0</v>
      </c>
      <c r="AN607" s="4">
        <v>0</v>
      </c>
      <c r="AO607" s="4">
        <v>0</v>
      </c>
      <c r="AP607" s="3" t="s">
        <v>59</v>
      </c>
      <c r="AQ607" s="3" t="s">
        <v>61</v>
      </c>
      <c r="AR607" s="6" t="str">
        <f>HYPERLINK("http://catalog.hathitrust.org/Record/005856019","HathiTrust Record")</f>
        <v>HathiTrust Record</v>
      </c>
      <c r="AS607" s="6" t="str">
        <f>HYPERLINK("https://creighton-primo.hosted.exlibrisgroup.com/primo-explore/search?tab=default_tab&amp;search_scope=EVERYTHING&amp;vid=01CRU&amp;lang=en_US&amp;offset=0&amp;query=any,contains,991000899259702656","Catalog Record")</f>
        <v>Catalog Record</v>
      </c>
      <c r="AT607" s="6" t="str">
        <f>HYPERLINK("http://www.worldcat.org/oclc/14011655","WorldCat Record")</f>
        <v>WorldCat Record</v>
      </c>
      <c r="AU607" s="3" t="s">
        <v>7160</v>
      </c>
      <c r="AV607" s="3" t="s">
        <v>7161</v>
      </c>
      <c r="AW607" s="3" t="s">
        <v>7162</v>
      </c>
      <c r="AX607" s="3" t="s">
        <v>7162</v>
      </c>
      <c r="AY607" s="3" t="s">
        <v>7163</v>
      </c>
      <c r="AZ607" s="3" t="s">
        <v>75</v>
      </c>
      <c r="BC607" s="3" t="s">
        <v>7164</v>
      </c>
      <c r="BD607" s="3" t="s">
        <v>7165</v>
      </c>
    </row>
    <row r="608" spans="1:56" ht="44.25" customHeight="1" x14ac:dyDescent="0.25">
      <c r="A608" s="7" t="s">
        <v>61</v>
      </c>
      <c r="B608" s="2" t="s">
        <v>7166</v>
      </c>
      <c r="C608" s="2" t="s">
        <v>7167</v>
      </c>
      <c r="D608" s="2" t="s">
        <v>7168</v>
      </c>
      <c r="F608" s="3" t="s">
        <v>61</v>
      </c>
      <c r="G608" s="3" t="s">
        <v>60</v>
      </c>
      <c r="H608" s="3" t="s">
        <v>61</v>
      </c>
      <c r="I608" s="3" t="s">
        <v>61</v>
      </c>
      <c r="J608" s="3" t="s">
        <v>62</v>
      </c>
      <c r="K608" s="2" t="s">
        <v>7169</v>
      </c>
      <c r="L608" s="2" t="s">
        <v>6044</v>
      </c>
      <c r="M608" s="3" t="s">
        <v>334</v>
      </c>
      <c r="O608" s="3" t="s">
        <v>114</v>
      </c>
      <c r="P608" s="3" t="s">
        <v>235</v>
      </c>
      <c r="R608" s="3" t="s">
        <v>68</v>
      </c>
      <c r="S608" s="4">
        <v>2</v>
      </c>
      <c r="T608" s="4">
        <v>2</v>
      </c>
      <c r="U608" s="5" t="s">
        <v>5063</v>
      </c>
      <c r="V608" s="5" t="s">
        <v>5063</v>
      </c>
      <c r="W608" s="5" t="s">
        <v>6867</v>
      </c>
      <c r="X608" s="5" t="s">
        <v>6867</v>
      </c>
      <c r="Y608" s="4">
        <v>714</v>
      </c>
      <c r="Z608" s="4">
        <v>683</v>
      </c>
      <c r="AA608" s="4">
        <v>732</v>
      </c>
      <c r="AB608" s="4">
        <v>4</v>
      </c>
      <c r="AC608" s="4">
        <v>5</v>
      </c>
      <c r="AD608" s="4">
        <v>20</v>
      </c>
      <c r="AE608" s="4">
        <v>23</v>
      </c>
      <c r="AF608" s="4">
        <v>6</v>
      </c>
      <c r="AG608" s="4">
        <v>8</v>
      </c>
      <c r="AH608" s="4">
        <v>6</v>
      </c>
      <c r="AI608" s="4">
        <v>6</v>
      </c>
      <c r="AJ608" s="4">
        <v>10</v>
      </c>
      <c r="AK608" s="4">
        <v>10</v>
      </c>
      <c r="AL608" s="4">
        <v>3</v>
      </c>
      <c r="AM608" s="4">
        <v>4</v>
      </c>
      <c r="AN608" s="4">
        <v>0</v>
      </c>
      <c r="AO608" s="4">
        <v>0</v>
      </c>
      <c r="AP608" s="3" t="s">
        <v>61</v>
      </c>
      <c r="AQ608" s="3" t="s">
        <v>61</v>
      </c>
      <c r="AS608" s="6" t="str">
        <f>HYPERLINK("https://creighton-primo.hosted.exlibrisgroup.com/primo-explore/search?tab=default_tab&amp;search_scope=EVERYTHING&amp;vid=01CRU&amp;lang=en_US&amp;offset=0&amp;query=any,contains,991000996839702656","Catalog Record")</f>
        <v>Catalog Record</v>
      </c>
      <c r="AT608" s="6" t="str">
        <f>HYPERLINK("http://www.worldcat.org/oclc/15162572","WorldCat Record")</f>
        <v>WorldCat Record</v>
      </c>
      <c r="AU608" s="3" t="s">
        <v>7170</v>
      </c>
      <c r="AV608" s="3" t="s">
        <v>7171</v>
      </c>
      <c r="AW608" s="3" t="s">
        <v>7172</v>
      </c>
      <c r="AX608" s="3" t="s">
        <v>7172</v>
      </c>
      <c r="AY608" s="3" t="s">
        <v>7173</v>
      </c>
      <c r="AZ608" s="3" t="s">
        <v>75</v>
      </c>
      <c r="BB608" s="3" t="s">
        <v>7174</v>
      </c>
      <c r="BC608" s="3" t="s">
        <v>7175</v>
      </c>
      <c r="BD608" s="3" t="s">
        <v>7176</v>
      </c>
    </row>
    <row r="609" spans="1:56" ht="44.25" customHeight="1" x14ac:dyDescent="0.25">
      <c r="A609" s="7" t="s">
        <v>61</v>
      </c>
      <c r="B609" s="2" t="s">
        <v>7177</v>
      </c>
      <c r="C609" s="2" t="s">
        <v>7178</v>
      </c>
      <c r="D609" s="2" t="s">
        <v>7179</v>
      </c>
      <c r="F609" s="3" t="s">
        <v>61</v>
      </c>
      <c r="G609" s="3" t="s">
        <v>60</v>
      </c>
      <c r="H609" s="3" t="s">
        <v>61</v>
      </c>
      <c r="I609" s="3" t="s">
        <v>61</v>
      </c>
      <c r="J609" s="3" t="s">
        <v>62</v>
      </c>
      <c r="K609" s="2" t="s">
        <v>7180</v>
      </c>
      <c r="L609" s="2" t="s">
        <v>7181</v>
      </c>
      <c r="M609" s="3" t="s">
        <v>379</v>
      </c>
      <c r="N609" s="2" t="s">
        <v>679</v>
      </c>
      <c r="O609" s="3" t="s">
        <v>114</v>
      </c>
      <c r="P609" s="3" t="s">
        <v>235</v>
      </c>
      <c r="R609" s="3" t="s">
        <v>68</v>
      </c>
      <c r="S609" s="4">
        <v>1</v>
      </c>
      <c r="T609" s="4">
        <v>1</v>
      </c>
      <c r="U609" s="5" t="s">
        <v>7182</v>
      </c>
      <c r="V609" s="5" t="s">
        <v>7182</v>
      </c>
      <c r="W609" s="5" t="s">
        <v>7182</v>
      </c>
      <c r="X609" s="5" t="s">
        <v>7182</v>
      </c>
      <c r="Y609" s="4">
        <v>1160</v>
      </c>
      <c r="Z609" s="4">
        <v>1106</v>
      </c>
      <c r="AA609" s="4">
        <v>1315</v>
      </c>
      <c r="AB609" s="4">
        <v>12</v>
      </c>
      <c r="AC609" s="4">
        <v>13</v>
      </c>
      <c r="AD609" s="4">
        <v>36</v>
      </c>
      <c r="AE609" s="4">
        <v>40</v>
      </c>
      <c r="AF609" s="4">
        <v>16</v>
      </c>
      <c r="AG609" s="4">
        <v>17</v>
      </c>
      <c r="AH609" s="4">
        <v>6</v>
      </c>
      <c r="AI609" s="4">
        <v>8</v>
      </c>
      <c r="AJ609" s="4">
        <v>15</v>
      </c>
      <c r="AK609" s="4">
        <v>18</v>
      </c>
      <c r="AL609" s="4">
        <v>6</v>
      </c>
      <c r="AM609" s="4">
        <v>7</v>
      </c>
      <c r="AN609" s="4">
        <v>0</v>
      </c>
      <c r="AO609" s="4">
        <v>0</v>
      </c>
      <c r="AP609" s="3" t="s">
        <v>61</v>
      </c>
      <c r="AQ609" s="3" t="s">
        <v>59</v>
      </c>
      <c r="AR609" s="6" t="str">
        <f>HYPERLINK("http://catalog.hathitrust.org/Record/004096261","HathiTrust Record")</f>
        <v>HathiTrust Record</v>
      </c>
      <c r="AS609" s="6" t="str">
        <f>HYPERLINK("https://creighton-primo.hosted.exlibrisgroup.com/primo-explore/search?tab=default_tab&amp;search_scope=EVERYTHING&amp;vid=01CRU&amp;lang=en_US&amp;offset=0&amp;query=any,contains,991003735739702656","Catalog Record")</f>
        <v>Catalog Record</v>
      </c>
      <c r="AT609" s="6" t="str">
        <f>HYPERLINK("http://www.worldcat.org/oclc/44046943","WorldCat Record")</f>
        <v>WorldCat Record</v>
      </c>
      <c r="AU609" s="3" t="s">
        <v>7183</v>
      </c>
      <c r="AV609" s="3" t="s">
        <v>7184</v>
      </c>
      <c r="AW609" s="3" t="s">
        <v>7185</v>
      </c>
      <c r="AX609" s="3" t="s">
        <v>7185</v>
      </c>
      <c r="AY609" s="3" t="s">
        <v>7186</v>
      </c>
      <c r="AZ609" s="3" t="s">
        <v>75</v>
      </c>
      <c r="BB609" s="3" t="s">
        <v>7187</v>
      </c>
      <c r="BC609" s="3" t="s">
        <v>7188</v>
      </c>
      <c r="BD609" s="3" t="s">
        <v>7189</v>
      </c>
    </row>
    <row r="610" spans="1:56" ht="44.25" customHeight="1" x14ac:dyDescent="0.25">
      <c r="A610" s="7" t="s">
        <v>61</v>
      </c>
      <c r="B610" s="2" t="s">
        <v>7190</v>
      </c>
      <c r="C610" s="2" t="s">
        <v>7191</v>
      </c>
      <c r="D610" s="2" t="s">
        <v>7192</v>
      </c>
      <c r="F610" s="3" t="s">
        <v>61</v>
      </c>
      <c r="G610" s="3" t="s">
        <v>60</v>
      </c>
      <c r="H610" s="3" t="s">
        <v>61</v>
      </c>
      <c r="I610" s="3" t="s">
        <v>61</v>
      </c>
      <c r="J610" s="3" t="s">
        <v>62</v>
      </c>
      <c r="K610" s="2" t="s">
        <v>7193</v>
      </c>
      <c r="L610" s="2" t="s">
        <v>7194</v>
      </c>
      <c r="M610" s="3" t="s">
        <v>755</v>
      </c>
      <c r="O610" s="3" t="s">
        <v>114</v>
      </c>
      <c r="P610" s="3" t="s">
        <v>235</v>
      </c>
      <c r="Q610" s="2" t="s">
        <v>4007</v>
      </c>
      <c r="R610" s="3" t="s">
        <v>68</v>
      </c>
      <c r="S610" s="4">
        <v>1</v>
      </c>
      <c r="T610" s="4">
        <v>1</v>
      </c>
      <c r="U610" s="5" t="s">
        <v>7195</v>
      </c>
      <c r="V610" s="5" t="s">
        <v>7195</v>
      </c>
      <c r="W610" s="5" t="s">
        <v>7196</v>
      </c>
      <c r="X610" s="5" t="s">
        <v>7196</v>
      </c>
      <c r="Y610" s="4">
        <v>159</v>
      </c>
      <c r="Z610" s="4">
        <v>150</v>
      </c>
      <c r="AA610" s="4">
        <v>695</v>
      </c>
      <c r="AB610" s="4">
        <v>2</v>
      </c>
      <c r="AC610" s="4">
        <v>6</v>
      </c>
      <c r="AD610" s="4">
        <v>11</v>
      </c>
      <c r="AE610" s="4">
        <v>38</v>
      </c>
      <c r="AF610" s="4">
        <v>5</v>
      </c>
      <c r="AG610" s="4">
        <v>18</v>
      </c>
      <c r="AH610" s="4">
        <v>3</v>
      </c>
      <c r="AI610" s="4">
        <v>8</v>
      </c>
      <c r="AJ610" s="4">
        <v>3</v>
      </c>
      <c r="AK610" s="4">
        <v>17</v>
      </c>
      <c r="AL610" s="4">
        <v>1</v>
      </c>
      <c r="AM610" s="4">
        <v>4</v>
      </c>
      <c r="AN610" s="4">
        <v>1</v>
      </c>
      <c r="AO610" s="4">
        <v>1</v>
      </c>
      <c r="AP610" s="3" t="s">
        <v>61</v>
      </c>
      <c r="AQ610" s="3" t="s">
        <v>59</v>
      </c>
      <c r="AR610" s="6" t="str">
        <f>HYPERLINK("http://catalog.hathitrust.org/Record/000002440","HathiTrust Record")</f>
        <v>HathiTrust Record</v>
      </c>
      <c r="AS610" s="6" t="str">
        <f>HYPERLINK("https://creighton-primo.hosted.exlibrisgroup.com/primo-explore/search?tab=default_tab&amp;search_scope=EVERYTHING&amp;vid=01CRU&amp;lang=en_US&amp;offset=0&amp;query=any,contains,991000919859702656","Catalog Record")</f>
        <v>Catalog Record</v>
      </c>
      <c r="AT610" s="6" t="str">
        <f>HYPERLINK("http://www.worldcat.org/oclc/161336","WorldCat Record")</f>
        <v>WorldCat Record</v>
      </c>
      <c r="AU610" s="3" t="s">
        <v>7197</v>
      </c>
      <c r="AV610" s="3" t="s">
        <v>7198</v>
      </c>
      <c r="AW610" s="3" t="s">
        <v>7199</v>
      </c>
      <c r="AX610" s="3" t="s">
        <v>7199</v>
      </c>
      <c r="AY610" s="3" t="s">
        <v>7200</v>
      </c>
      <c r="AZ610" s="3" t="s">
        <v>75</v>
      </c>
      <c r="BB610" s="3" t="s">
        <v>7201</v>
      </c>
      <c r="BC610" s="3" t="s">
        <v>7202</v>
      </c>
      <c r="BD610" s="3" t="s">
        <v>7203</v>
      </c>
    </row>
    <row r="611" spans="1:56" ht="44.25" customHeight="1" x14ac:dyDescent="0.25">
      <c r="A611" s="7" t="s">
        <v>61</v>
      </c>
      <c r="B611" s="2" t="s">
        <v>7204</v>
      </c>
      <c r="C611" s="2" t="s">
        <v>7205</v>
      </c>
      <c r="D611" s="2" t="s">
        <v>7206</v>
      </c>
      <c r="F611" s="3" t="s">
        <v>61</v>
      </c>
      <c r="G611" s="3" t="s">
        <v>60</v>
      </c>
      <c r="H611" s="3" t="s">
        <v>61</v>
      </c>
      <c r="I611" s="3" t="s">
        <v>61</v>
      </c>
      <c r="J611" s="3" t="s">
        <v>62</v>
      </c>
      <c r="K611" s="2" t="s">
        <v>4524</v>
      </c>
      <c r="L611" s="2" t="s">
        <v>7207</v>
      </c>
      <c r="M611" s="3" t="s">
        <v>755</v>
      </c>
      <c r="O611" s="3" t="s">
        <v>114</v>
      </c>
      <c r="P611" s="3" t="s">
        <v>235</v>
      </c>
      <c r="Q611" s="2" t="s">
        <v>4007</v>
      </c>
      <c r="R611" s="3" t="s">
        <v>68</v>
      </c>
      <c r="S611" s="4">
        <v>2</v>
      </c>
      <c r="T611" s="4">
        <v>2</v>
      </c>
      <c r="U611" s="5" t="s">
        <v>7208</v>
      </c>
      <c r="V611" s="5" t="s">
        <v>7208</v>
      </c>
      <c r="W611" s="5" t="s">
        <v>7196</v>
      </c>
      <c r="X611" s="5" t="s">
        <v>7196</v>
      </c>
      <c r="Y611" s="4">
        <v>150</v>
      </c>
      <c r="Z611" s="4">
        <v>144</v>
      </c>
      <c r="AA611" s="4">
        <v>757</v>
      </c>
      <c r="AB611" s="4">
        <v>4</v>
      </c>
      <c r="AC611" s="4">
        <v>6</v>
      </c>
      <c r="AD611" s="4">
        <v>7</v>
      </c>
      <c r="AE611" s="4">
        <v>35</v>
      </c>
      <c r="AF611" s="4">
        <v>3</v>
      </c>
      <c r="AG611" s="4">
        <v>13</v>
      </c>
      <c r="AH611" s="4">
        <v>2</v>
      </c>
      <c r="AI611" s="4">
        <v>9</v>
      </c>
      <c r="AJ611" s="4">
        <v>1</v>
      </c>
      <c r="AK611" s="4">
        <v>17</v>
      </c>
      <c r="AL611" s="4">
        <v>2</v>
      </c>
      <c r="AM611" s="4">
        <v>4</v>
      </c>
      <c r="AN611" s="4">
        <v>0</v>
      </c>
      <c r="AO611" s="4">
        <v>0</v>
      </c>
      <c r="AP611" s="3" t="s">
        <v>61</v>
      </c>
      <c r="AQ611" s="3" t="s">
        <v>59</v>
      </c>
      <c r="AR611" s="6" t="str">
        <f>HYPERLINK("http://catalog.hathitrust.org/Record/004400693","HathiTrust Record")</f>
        <v>HathiTrust Record</v>
      </c>
      <c r="AS611" s="6" t="str">
        <f>HYPERLINK("https://creighton-primo.hosted.exlibrisgroup.com/primo-explore/search?tab=default_tab&amp;search_scope=EVERYTHING&amp;vid=01CRU&amp;lang=en_US&amp;offset=0&amp;query=any,contains,991001219339702656","Catalog Record")</f>
        <v>Catalog Record</v>
      </c>
      <c r="AT611" s="6" t="str">
        <f>HYPERLINK("http://www.worldcat.org/oclc/196026","WorldCat Record")</f>
        <v>WorldCat Record</v>
      </c>
      <c r="AU611" s="3" t="s">
        <v>7209</v>
      </c>
      <c r="AV611" s="3" t="s">
        <v>7210</v>
      </c>
      <c r="AW611" s="3" t="s">
        <v>7211</v>
      </c>
      <c r="AX611" s="3" t="s">
        <v>7211</v>
      </c>
      <c r="AY611" s="3" t="s">
        <v>7212</v>
      </c>
      <c r="AZ611" s="3" t="s">
        <v>75</v>
      </c>
      <c r="BB611" s="3" t="s">
        <v>7213</v>
      </c>
      <c r="BC611" s="3" t="s">
        <v>7214</v>
      </c>
      <c r="BD611" s="3" t="s">
        <v>7215</v>
      </c>
    </row>
    <row r="612" spans="1:56" ht="44.25" customHeight="1" x14ac:dyDescent="0.25">
      <c r="A612" s="7" t="s">
        <v>61</v>
      </c>
      <c r="B612" s="2" t="s">
        <v>7216</v>
      </c>
      <c r="C612" s="2" t="s">
        <v>7217</v>
      </c>
      <c r="D612" s="2" t="s">
        <v>7218</v>
      </c>
      <c r="F612" s="3" t="s">
        <v>61</v>
      </c>
      <c r="G612" s="3" t="s">
        <v>60</v>
      </c>
      <c r="H612" s="3" t="s">
        <v>61</v>
      </c>
      <c r="I612" s="3" t="s">
        <v>61</v>
      </c>
      <c r="J612" s="3" t="s">
        <v>62</v>
      </c>
      <c r="K612" s="2" t="s">
        <v>7219</v>
      </c>
      <c r="L612" s="2" t="s">
        <v>7220</v>
      </c>
      <c r="M612" s="3" t="s">
        <v>3279</v>
      </c>
      <c r="O612" s="3" t="s">
        <v>114</v>
      </c>
      <c r="P612" s="3" t="s">
        <v>364</v>
      </c>
      <c r="Q612" s="2" t="s">
        <v>7221</v>
      </c>
      <c r="R612" s="3" t="s">
        <v>68</v>
      </c>
      <c r="S612" s="4">
        <v>5</v>
      </c>
      <c r="T612" s="4">
        <v>5</v>
      </c>
      <c r="U612" s="5" t="s">
        <v>7222</v>
      </c>
      <c r="V612" s="5" t="s">
        <v>7222</v>
      </c>
      <c r="W612" s="5" t="s">
        <v>7196</v>
      </c>
      <c r="X612" s="5" t="s">
        <v>7196</v>
      </c>
      <c r="Y612" s="4">
        <v>587</v>
      </c>
      <c r="Z612" s="4">
        <v>490</v>
      </c>
      <c r="AA612" s="4">
        <v>506</v>
      </c>
      <c r="AB612" s="4">
        <v>8</v>
      </c>
      <c r="AC612" s="4">
        <v>8</v>
      </c>
      <c r="AD612" s="4">
        <v>23</v>
      </c>
      <c r="AE612" s="4">
        <v>23</v>
      </c>
      <c r="AF612" s="4">
        <v>7</v>
      </c>
      <c r="AG612" s="4">
        <v>7</v>
      </c>
      <c r="AH612" s="4">
        <v>4</v>
      </c>
      <c r="AI612" s="4">
        <v>4</v>
      </c>
      <c r="AJ612" s="4">
        <v>12</v>
      </c>
      <c r="AK612" s="4">
        <v>12</v>
      </c>
      <c r="AL612" s="4">
        <v>7</v>
      </c>
      <c r="AM612" s="4">
        <v>7</v>
      </c>
      <c r="AN612" s="4">
        <v>0</v>
      </c>
      <c r="AO612" s="4">
        <v>0</v>
      </c>
      <c r="AP612" s="3" t="s">
        <v>61</v>
      </c>
      <c r="AQ612" s="3" t="s">
        <v>59</v>
      </c>
      <c r="AR612" s="6" t="str">
        <f>HYPERLINK("http://catalog.hathitrust.org/Record/000490274","HathiTrust Record")</f>
        <v>HathiTrust Record</v>
      </c>
      <c r="AS612" s="6" t="str">
        <f>HYPERLINK("https://creighton-primo.hosted.exlibrisgroup.com/primo-explore/search?tab=default_tab&amp;search_scope=EVERYTHING&amp;vid=01CRU&amp;lang=en_US&amp;offset=0&amp;query=any,contains,991001905179702656","Catalog Record")</f>
        <v>Catalog Record</v>
      </c>
      <c r="AT612" s="6" t="str">
        <f>HYPERLINK("http://www.worldcat.org/oclc/240210","WorldCat Record")</f>
        <v>WorldCat Record</v>
      </c>
      <c r="AU612" s="3" t="s">
        <v>7223</v>
      </c>
      <c r="AV612" s="3" t="s">
        <v>7224</v>
      </c>
      <c r="AW612" s="3" t="s">
        <v>7225</v>
      </c>
      <c r="AX612" s="3" t="s">
        <v>7225</v>
      </c>
      <c r="AY612" s="3" t="s">
        <v>7226</v>
      </c>
      <c r="AZ612" s="3" t="s">
        <v>75</v>
      </c>
      <c r="BB612" s="3" t="s">
        <v>7227</v>
      </c>
      <c r="BC612" s="3" t="s">
        <v>7228</v>
      </c>
      <c r="BD612" s="3" t="s">
        <v>7229</v>
      </c>
    </row>
    <row r="613" spans="1:56" ht="44.25" customHeight="1" x14ac:dyDescent="0.25">
      <c r="A613" s="7" t="s">
        <v>61</v>
      </c>
      <c r="B613" s="2" t="s">
        <v>7230</v>
      </c>
      <c r="C613" s="2" t="s">
        <v>7231</v>
      </c>
      <c r="D613" s="2" t="s">
        <v>7232</v>
      </c>
      <c r="F613" s="3" t="s">
        <v>61</v>
      </c>
      <c r="G613" s="3" t="s">
        <v>60</v>
      </c>
      <c r="H613" s="3" t="s">
        <v>61</v>
      </c>
      <c r="I613" s="3" t="s">
        <v>61</v>
      </c>
      <c r="J613" s="3" t="s">
        <v>62</v>
      </c>
      <c r="K613" s="2" t="s">
        <v>7233</v>
      </c>
      <c r="L613" s="2" t="s">
        <v>7234</v>
      </c>
      <c r="M613" s="3" t="s">
        <v>422</v>
      </c>
      <c r="O613" s="3" t="s">
        <v>114</v>
      </c>
      <c r="P613" s="3" t="s">
        <v>235</v>
      </c>
      <c r="R613" s="3" t="s">
        <v>68</v>
      </c>
      <c r="S613" s="4">
        <v>1</v>
      </c>
      <c r="T613" s="4">
        <v>1</v>
      </c>
      <c r="U613" s="5" t="s">
        <v>2502</v>
      </c>
      <c r="V613" s="5" t="s">
        <v>2502</v>
      </c>
      <c r="W613" s="5" t="s">
        <v>2502</v>
      </c>
      <c r="X613" s="5" t="s">
        <v>2502</v>
      </c>
      <c r="Y613" s="4">
        <v>356</v>
      </c>
      <c r="Z613" s="4">
        <v>303</v>
      </c>
      <c r="AA613" s="4">
        <v>303</v>
      </c>
      <c r="AB613" s="4">
        <v>2</v>
      </c>
      <c r="AC613" s="4">
        <v>2</v>
      </c>
      <c r="AD613" s="4">
        <v>16</v>
      </c>
      <c r="AE613" s="4">
        <v>16</v>
      </c>
      <c r="AF613" s="4">
        <v>6</v>
      </c>
      <c r="AG613" s="4">
        <v>6</v>
      </c>
      <c r="AH613" s="4">
        <v>2</v>
      </c>
      <c r="AI613" s="4">
        <v>2</v>
      </c>
      <c r="AJ613" s="4">
        <v>11</v>
      </c>
      <c r="AK613" s="4">
        <v>11</v>
      </c>
      <c r="AL613" s="4">
        <v>1</v>
      </c>
      <c r="AM613" s="4">
        <v>1</v>
      </c>
      <c r="AN613" s="4">
        <v>0</v>
      </c>
      <c r="AO613" s="4">
        <v>0</v>
      </c>
      <c r="AP613" s="3" t="s">
        <v>61</v>
      </c>
      <c r="AQ613" s="3" t="s">
        <v>61</v>
      </c>
      <c r="AS613" s="6" t="str">
        <f>HYPERLINK("https://creighton-primo.hosted.exlibrisgroup.com/primo-explore/search?tab=default_tab&amp;search_scope=EVERYTHING&amp;vid=01CRU&amp;lang=en_US&amp;offset=0&amp;query=any,contains,991003995159702656","Catalog Record")</f>
        <v>Catalog Record</v>
      </c>
      <c r="AT613" s="6" t="str">
        <f>HYPERLINK("http://www.worldcat.org/oclc/37935091","WorldCat Record")</f>
        <v>WorldCat Record</v>
      </c>
      <c r="AU613" s="3" t="s">
        <v>7235</v>
      </c>
      <c r="AV613" s="3" t="s">
        <v>7236</v>
      </c>
      <c r="AW613" s="3" t="s">
        <v>7237</v>
      </c>
      <c r="AX613" s="3" t="s">
        <v>7237</v>
      </c>
      <c r="AY613" s="3" t="s">
        <v>7238</v>
      </c>
      <c r="AZ613" s="3" t="s">
        <v>75</v>
      </c>
      <c r="BB613" s="3" t="s">
        <v>7239</v>
      </c>
      <c r="BC613" s="3" t="s">
        <v>7240</v>
      </c>
      <c r="BD613" s="3" t="s">
        <v>7241</v>
      </c>
    </row>
    <row r="614" spans="1:56" ht="44.25" customHeight="1" x14ac:dyDescent="0.25">
      <c r="A614" s="7" t="s">
        <v>61</v>
      </c>
      <c r="B614" s="2" t="s">
        <v>7242</v>
      </c>
      <c r="C614" s="2" t="s">
        <v>7243</v>
      </c>
      <c r="D614" s="2" t="s">
        <v>7244</v>
      </c>
      <c r="F614" s="3" t="s">
        <v>61</v>
      </c>
      <c r="G614" s="3" t="s">
        <v>60</v>
      </c>
      <c r="H614" s="3" t="s">
        <v>61</v>
      </c>
      <c r="I614" s="3" t="s">
        <v>61</v>
      </c>
      <c r="J614" s="3" t="s">
        <v>62</v>
      </c>
      <c r="K614" s="2" t="s">
        <v>7245</v>
      </c>
      <c r="L614" s="2" t="s">
        <v>7246</v>
      </c>
      <c r="M614" s="3" t="s">
        <v>784</v>
      </c>
      <c r="O614" s="3" t="s">
        <v>114</v>
      </c>
      <c r="P614" s="3" t="s">
        <v>235</v>
      </c>
      <c r="Q614" s="2" t="s">
        <v>7247</v>
      </c>
      <c r="R614" s="3" t="s">
        <v>68</v>
      </c>
      <c r="S614" s="4">
        <v>5</v>
      </c>
      <c r="T614" s="4">
        <v>5</v>
      </c>
      <c r="U614" s="5" t="s">
        <v>4654</v>
      </c>
      <c r="V614" s="5" t="s">
        <v>4654</v>
      </c>
      <c r="W614" s="5" t="s">
        <v>7248</v>
      </c>
      <c r="X614" s="5" t="s">
        <v>7248</v>
      </c>
      <c r="Y614" s="4">
        <v>389</v>
      </c>
      <c r="Z614" s="4">
        <v>316</v>
      </c>
      <c r="AA614" s="4">
        <v>318</v>
      </c>
      <c r="AB614" s="4">
        <v>4</v>
      </c>
      <c r="AC614" s="4">
        <v>4</v>
      </c>
      <c r="AD614" s="4">
        <v>18</v>
      </c>
      <c r="AE614" s="4">
        <v>18</v>
      </c>
      <c r="AF614" s="4">
        <v>6</v>
      </c>
      <c r="AG614" s="4">
        <v>6</v>
      </c>
      <c r="AH614" s="4">
        <v>5</v>
      </c>
      <c r="AI614" s="4">
        <v>5</v>
      </c>
      <c r="AJ614" s="4">
        <v>10</v>
      </c>
      <c r="AK614" s="4">
        <v>10</v>
      </c>
      <c r="AL614" s="4">
        <v>3</v>
      </c>
      <c r="AM614" s="4">
        <v>3</v>
      </c>
      <c r="AN614" s="4">
        <v>0</v>
      </c>
      <c r="AO614" s="4">
        <v>0</v>
      </c>
      <c r="AP614" s="3" t="s">
        <v>61</v>
      </c>
      <c r="AQ614" s="3" t="s">
        <v>59</v>
      </c>
      <c r="AR614" s="6" t="str">
        <f>HYPERLINK("http://catalog.hathitrust.org/Record/000445357","HathiTrust Record")</f>
        <v>HathiTrust Record</v>
      </c>
      <c r="AS614" s="6" t="str">
        <f>HYPERLINK("https://creighton-primo.hosted.exlibrisgroup.com/primo-explore/search?tab=default_tab&amp;search_scope=EVERYTHING&amp;vid=01CRU&amp;lang=en_US&amp;offset=0&amp;query=any,contains,991003397919702656","Catalog Record")</f>
        <v>Catalog Record</v>
      </c>
      <c r="AT614" s="6" t="str">
        <f>HYPERLINK("http://www.worldcat.org/oclc/936970","WorldCat Record")</f>
        <v>WorldCat Record</v>
      </c>
      <c r="AU614" s="3" t="s">
        <v>7249</v>
      </c>
      <c r="AV614" s="3" t="s">
        <v>7250</v>
      </c>
      <c r="AW614" s="3" t="s">
        <v>7251</v>
      </c>
      <c r="AX614" s="3" t="s">
        <v>7251</v>
      </c>
      <c r="AY614" s="3" t="s">
        <v>7252</v>
      </c>
      <c r="AZ614" s="3" t="s">
        <v>75</v>
      </c>
      <c r="BC614" s="3" t="s">
        <v>7253</v>
      </c>
      <c r="BD614" s="3" t="s">
        <v>7254</v>
      </c>
    </row>
    <row r="615" spans="1:56" ht="44.25" customHeight="1" x14ac:dyDescent="0.25">
      <c r="A615" s="7" t="s">
        <v>61</v>
      </c>
      <c r="B615" s="2" t="s">
        <v>7255</v>
      </c>
      <c r="C615" s="2" t="s">
        <v>7256</v>
      </c>
      <c r="D615" s="2" t="s">
        <v>7257</v>
      </c>
      <c r="F615" s="3" t="s">
        <v>61</v>
      </c>
      <c r="G615" s="3" t="s">
        <v>60</v>
      </c>
      <c r="H615" s="3" t="s">
        <v>61</v>
      </c>
      <c r="I615" s="3" t="s">
        <v>61</v>
      </c>
      <c r="J615" s="3" t="s">
        <v>62</v>
      </c>
      <c r="K615" s="2" t="s">
        <v>7258</v>
      </c>
      <c r="L615" s="2" t="s">
        <v>7259</v>
      </c>
      <c r="M615" s="3" t="s">
        <v>350</v>
      </c>
      <c r="N615" s="2" t="s">
        <v>634</v>
      </c>
      <c r="O615" s="3" t="s">
        <v>114</v>
      </c>
      <c r="P615" s="3" t="s">
        <v>235</v>
      </c>
      <c r="R615" s="3" t="s">
        <v>68</v>
      </c>
      <c r="S615" s="4">
        <v>3</v>
      </c>
      <c r="T615" s="4">
        <v>3</v>
      </c>
      <c r="U615" s="5" t="s">
        <v>7260</v>
      </c>
      <c r="V615" s="5" t="s">
        <v>7260</v>
      </c>
      <c r="W615" s="5" t="s">
        <v>5728</v>
      </c>
      <c r="X615" s="5" t="s">
        <v>5728</v>
      </c>
      <c r="Y615" s="4">
        <v>1188</v>
      </c>
      <c r="Z615" s="4">
        <v>1093</v>
      </c>
      <c r="AA615" s="4">
        <v>1224</v>
      </c>
      <c r="AB615" s="4">
        <v>12</v>
      </c>
      <c r="AC615" s="4">
        <v>12</v>
      </c>
      <c r="AD615" s="4">
        <v>40</v>
      </c>
      <c r="AE615" s="4">
        <v>43</v>
      </c>
      <c r="AF615" s="4">
        <v>15</v>
      </c>
      <c r="AG615" s="4">
        <v>17</v>
      </c>
      <c r="AH615" s="4">
        <v>6</v>
      </c>
      <c r="AI615" s="4">
        <v>7</v>
      </c>
      <c r="AJ615" s="4">
        <v>19</v>
      </c>
      <c r="AK615" s="4">
        <v>20</v>
      </c>
      <c r="AL615" s="4">
        <v>7</v>
      </c>
      <c r="AM615" s="4">
        <v>7</v>
      </c>
      <c r="AN615" s="4">
        <v>2</v>
      </c>
      <c r="AO615" s="4">
        <v>2</v>
      </c>
      <c r="AP615" s="3" t="s">
        <v>61</v>
      </c>
      <c r="AQ615" s="3" t="s">
        <v>59</v>
      </c>
      <c r="AR615" s="6" t="str">
        <f>HYPERLINK("http://catalog.hathitrust.org/Record/000257281","HathiTrust Record")</f>
        <v>HathiTrust Record</v>
      </c>
      <c r="AS615" s="6" t="str">
        <f>HYPERLINK("https://creighton-primo.hosted.exlibrisgroup.com/primo-explore/search?tab=default_tab&amp;search_scope=EVERYTHING&amp;vid=01CRU&amp;lang=en_US&amp;offset=0&amp;query=any,contains,991004667649702656","Catalog Record")</f>
        <v>Catalog Record</v>
      </c>
      <c r="AT615" s="6" t="str">
        <f>HYPERLINK("http://www.worldcat.org/oclc/4506071","WorldCat Record")</f>
        <v>WorldCat Record</v>
      </c>
      <c r="AU615" s="3" t="s">
        <v>7261</v>
      </c>
      <c r="AV615" s="3" t="s">
        <v>7262</v>
      </c>
      <c r="AW615" s="3" t="s">
        <v>7263</v>
      </c>
      <c r="AX615" s="3" t="s">
        <v>7263</v>
      </c>
      <c r="AY615" s="3" t="s">
        <v>7264</v>
      </c>
      <c r="AZ615" s="3" t="s">
        <v>75</v>
      </c>
      <c r="BB615" s="3" t="s">
        <v>7265</v>
      </c>
      <c r="BC615" s="3" t="s">
        <v>7266</v>
      </c>
      <c r="BD615" s="3" t="s">
        <v>7267</v>
      </c>
    </row>
    <row r="616" spans="1:56" ht="44.25" customHeight="1" x14ac:dyDescent="0.25">
      <c r="A616" s="7" t="s">
        <v>61</v>
      </c>
      <c r="B616" s="2" t="s">
        <v>7268</v>
      </c>
      <c r="C616" s="2" t="s">
        <v>7269</v>
      </c>
      <c r="D616" s="2" t="s">
        <v>7270</v>
      </c>
      <c r="F616" s="3" t="s">
        <v>61</v>
      </c>
      <c r="G616" s="3" t="s">
        <v>60</v>
      </c>
      <c r="H616" s="3" t="s">
        <v>61</v>
      </c>
      <c r="I616" s="3" t="s">
        <v>61</v>
      </c>
      <c r="J616" s="3" t="s">
        <v>62</v>
      </c>
      <c r="K616" s="2" t="s">
        <v>7271</v>
      </c>
      <c r="L616" s="2" t="s">
        <v>7272</v>
      </c>
      <c r="M616" s="3" t="s">
        <v>579</v>
      </c>
      <c r="O616" s="3" t="s">
        <v>114</v>
      </c>
      <c r="P616" s="3" t="s">
        <v>192</v>
      </c>
      <c r="R616" s="3" t="s">
        <v>68</v>
      </c>
      <c r="S616" s="4">
        <v>4</v>
      </c>
      <c r="T616" s="4">
        <v>4</v>
      </c>
      <c r="U616" s="5" t="s">
        <v>7273</v>
      </c>
      <c r="V616" s="5" t="s">
        <v>7273</v>
      </c>
      <c r="W616" s="5" t="s">
        <v>7274</v>
      </c>
      <c r="X616" s="5" t="s">
        <v>7274</v>
      </c>
      <c r="Y616" s="4">
        <v>279</v>
      </c>
      <c r="Z616" s="4">
        <v>160</v>
      </c>
      <c r="AA616" s="4">
        <v>172</v>
      </c>
      <c r="AB616" s="4">
        <v>2</v>
      </c>
      <c r="AC616" s="4">
        <v>2</v>
      </c>
      <c r="AD616" s="4">
        <v>6</v>
      </c>
      <c r="AE616" s="4">
        <v>6</v>
      </c>
      <c r="AF616" s="4">
        <v>1</v>
      </c>
      <c r="AG616" s="4">
        <v>1</v>
      </c>
      <c r="AH616" s="4">
        <v>2</v>
      </c>
      <c r="AI616" s="4">
        <v>2</v>
      </c>
      <c r="AJ616" s="4">
        <v>3</v>
      </c>
      <c r="AK616" s="4">
        <v>3</v>
      </c>
      <c r="AL616" s="4">
        <v>2</v>
      </c>
      <c r="AM616" s="4">
        <v>2</v>
      </c>
      <c r="AN616" s="4">
        <v>0</v>
      </c>
      <c r="AO616" s="4">
        <v>0</v>
      </c>
      <c r="AP616" s="3" t="s">
        <v>61</v>
      </c>
      <c r="AQ616" s="3" t="s">
        <v>59</v>
      </c>
      <c r="AR616" s="6" t="str">
        <f>HYPERLINK("http://catalog.hathitrust.org/Record/000491836","HathiTrust Record")</f>
        <v>HathiTrust Record</v>
      </c>
      <c r="AS616" s="6" t="str">
        <f>HYPERLINK("https://creighton-primo.hosted.exlibrisgroup.com/primo-explore/search?tab=default_tab&amp;search_scope=EVERYTHING&amp;vid=01CRU&amp;lang=en_US&amp;offset=0&amp;query=any,contains,991001318609702656","Catalog Record")</f>
        <v>Catalog Record</v>
      </c>
      <c r="AT616" s="6" t="str">
        <f>HYPERLINK("http://www.worldcat.org/oclc/18192468","WorldCat Record")</f>
        <v>WorldCat Record</v>
      </c>
      <c r="AU616" s="3" t="s">
        <v>7275</v>
      </c>
      <c r="AV616" s="3" t="s">
        <v>7276</v>
      </c>
      <c r="AW616" s="3" t="s">
        <v>7277</v>
      </c>
      <c r="AX616" s="3" t="s">
        <v>7277</v>
      </c>
      <c r="AY616" s="3" t="s">
        <v>7278</v>
      </c>
      <c r="AZ616" s="3" t="s">
        <v>75</v>
      </c>
      <c r="BB616" s="3" t="s">
        <v>7279</v>
      </c>
      <c r="BC616" s="3" t="s">
        <v>7280</v>
      </c>
      <c r="BD616" s="3" t="s">
        <v>7281</v>
      </c>
    </row>
    <row r="617" spans="1:56" ht="44.25" customHeight="1" x14ac:dyDescent="0.25">
      <c r="A617" s="7" t="s">
        <v>61</v>
      </c>
      <c r="B617" s="2" t="s">
        <v>7282</v>
      </c>
      <c r="C617" s="2" t="s">
        <v>7283</v>
      </c>
      <c r="D617" s="2" t="s">
        <v>7284</v>
      </c>
      <c r="F617" s="3" t="s">
        <v>61</v>
      </c>
      <c r="G617" s="3" t="s">
        <v>60</v>
      </c>
      <c r="H617" s="3" t="s">
        <v>61</v>
      </c>
      <c r="I617" s="3" t="s">
        <v>61</v>
      </c>
      <c r="J617" s="3" t="s">
        <v>62</v>
      </c>
      <c r="K617" s="2" t="s">
        <v>7285</v>
      </c>
      <c r="L617" s="2" t="s">
        <v>7286</v>
      </c>
      <c r="M617" s="3" t="s">
        <v>884</v>
      </c>
      <c r="O617" s="3" t="s">
        <v>114</v>
      </c>
      <c r="P617" s="3" t="s">
        <v>235</v>
      </c>
      <c r="R617" s="3" t="s">
        <v>68</v>
      </c>
      <c r="S617" s="4">
        <v>21</v>
      </c>
      <c r="T617" s="4">
        <v>21</v>
      </c>
      <c r="U617" s="5" t="s">
        <v>7287</v>
      </c>
      <c r="V617" s="5" t="s">
        <v>7287</v>
      </c>
      <c r="W617" s="5" t="s">
        <v>7288</v>
      </c>
      <c r="X617" s="5" t="s">
        <v>7288</v>
      </c>
      <c r="Y617" s="4">
        <v>1326</v>
      </c>
      <c r="Z617" s="4">
        <v>1155</v>
      </c>
      <c r="AA617" s="4">
        <v>1189</v>
      </c>
      <c r="AB617" s="4">
        <v>9</v>
      </c>
      <c r="AC617" s="4">
        <v>9</v>
      </c>
      <c r="AD617" s="4">
        <v>48</v>
      </c>
      <c r="AE617" s="4">
        <v>49</v>
      </c>
      <c r="AF617" s="4">
        <v>21</v>
      </c>
      <c r="AG617" s="4">
        <v>21</v>
      </c>
      <c r="AH617" s="4">
        <v>8</v>
      </c>
      <c r="AI617" s="4">
        <v>9</v>
      </c>
      <c r="AJ617" s="4">
        <v>23</v>
      </c>
      <c r="AK617" s="4">
        <v>23</v>
      </c>
      <c r="AL617" s="4">
        <v>7</v>
      </c>
      <c r="AM617" s="4">
        <v>7</v>
      </c>
      <c r="AN617" s="4">
        <v>0</v>
      </c>
      <c r="AO617" s="4">
        <v>0</v>
      </c>
      <c r="AP617" s="3" t="s">
        <v>61</v>
      </c>
      <c r="AQ617" s="3" t="s">
        <v>59</v>
      </c>
      <c r="AR617" s="6" t="str">
        <f>HYPERLINK("http://catalog.hathitrust.org/Record/000445577","HathiTrust Record")</f>
        <v>HathiTrust Record</v>
      </c>
      <c r="AS617" s="6" t="str">
        <f>HYPERLINK("https://creighton-primo.hosted.exlibrisgroup.com/primo-explore/search?tab=default_tab&amp;search_scope=EVERYTHING&amp;vid=01CRU&amp;lang=en_US&amp;offset=0&amp;query=any,contains,991000600009702656","Catalog Record")</f>
        <v>Catalog Record</v>
      </c>
      <c r="AT617" s="6" t="str">
        <f>HYPERLINK("http://www.worldcat.org/oclc/98299","WorldCat Record")</f>
        <v>WorldCat Record</v>
      </c>
      <c r="AU617" s="3" t="s">
        <v>7289</v>
      </c>
      <c r="AV617" s="3" t="s">
        <v>7290</v>
      </c>
      <c r="AW617" s="3" t="s">
        <v>7291</v>
      </c>
      <c r="AX617" s="3" t="s">
        <v>7291</v>
      </c>
      <c r="AY617" s="3" t="s">
        <v>7292</v>
      </c>
      <c r="AZ617" s="3" t="s">
        <v>75</v>
      </c>
      <c r="BC617" s="3" t="s">
        <v>7293</v>
      </c>
      <c r="BD617" s="3" t="s">
        <v>7294</v>
      </c>
    </row>
    <row r="618" spans="1:56" ht="44.25" customHeight="1" x14ac:dyDescent="0.25">
      <c r="A618" s="7" t="s">
        <v>61</v>
      </c>
      <c r="B618" s="2" t="s">
        <v>7295</v>
      </c>
      <c r="C618" s="2" t="s">
        <v>7296</v>
      </c>
      <c r="D618" s="2" t="s">
        <v>7297</v>
      </c>
      <c r="F618" s="3" t="s">
        <v>61</v>
      </c>
      <c r="G618" s="3" t="s">
        <v>60</v>
      </c>
      <c r="H618" s="3" t="s">
        <v>61</v>
      </c>
      <c r="I618" s="3" t="s">
        <v>61</v>
      </c>
      <c r="J618" s="3" t="s">
        <v>62</v>
      </c>
      <c r="K618" s="2" t="s">
        <v>7298</v>
      </c>
      <c r="L618" s="2" t="s">
        <v>7299</v>
      </c>
      <c r="M618" s="3" t="s">
        <v>1507</v>
      </c>
      <c r="O618" s="3" t="s">
        <v>114</v>
      </c>
      <c r="P618" s="3" t="s">
        <v>67</v>
      </c>
      <c r="R618" s="3" t="s">
        <v>68</v>
      </c>
      <c r="S618" s="4">
        <v>21</v>
      </c>
      <c r="T618" s="4">
        <v>21</v>
      </c>
      <c r="U618" s="5" t="s">
        <v>7287</v>
      </c>
      <c r="V618" s="5" t="s">
        <v>7287</v>
      </c>
      <c r="W618" s="5" t="s">
        <v>7300</v>
      </c>
      <c r="X618" s="5" t="s">
        <v>7300</v>
      </c>
      <c r="Y618" s="4">
        <v>114</v>
      </c>
      <c r="Z618" s="4">
        <v>113</v>
      </c>
      <c r="AA618" s="4">
        <v>113</v>
      </c>
      <c r="AB618" s="4">
        <v>2</v>
      </c>
      <c r="AC618" s="4">
        <v>2</v>
      </c>
      <c r="AD618" s="4">
        <v>5</v>
      </c>
      <c r="AE618" s="4">
        <v>5</v>
      </c>
      <c r="AF618" s="4">
        <v>0</v>
      </c>
      <c r="AG618" s="4">
        <v>0</v>
      </c>
      <c r="AH618" s="4">
        <v>1</v>
      </c>
      <c r="AI618" s="4">
        <v>1</v>
      </c>
      <c r="AJ618" s="4">
        <v>3</v>
      </c>
      <c r="AK618" s="4">
        <v>3</v>
      </c>
      <c r="AL618" s="4">
        <v>1</v>
      </c>
      <c r="AM618" s="4">
        <v>1</v>
      </c>
      <c r="AN618" s="4">
        <v>0</v>
      </c>
      <c r="AO618" s="4">
        <v>0</v>
      </c>
      <c r="AP618" s="3" t="s">
        <v>61</v>
      </c>
      <c r="AQ618" s="3" t="s">
        <v>61</v>
      </c>
      <c r="AS618" s="6" t="str">
        <f>HYPERLINK("https://creighton-primo.hosted.exlibrisgroup.com/primo-explore/search?tab=default_tab&amp;search_scope=EVERYTHING&amp;vid=01CRU&amp;lang=en_US&amp;offset=0&amp;query=any,contains,991003749909702656","Catalog Record")</f>
        <v>Catalog Record</v>
      </c>
      <c r="AT618" s="6" t="str">
        <f>HYPERLINK("http://www.worldcat.org/oclc/1424627","WorldCat Record")</f>
        <v>WorldCat Record</v>
      </c>
      <c r="AU618" s="3" t="s">
        <v>7301</v>
      </c>
      <c r="AV618" s="3" t="s">
        <v>7302</v>
      </c>
      <c r="AW618" s="3" t="s">
        <v>7303</v>
      </c>
      <c r="AX618" s="3" t="s">
        <v>7303</v>
      </c>
      <c r="AY618" s="3" t="s">
        <v>7304</v>
      </c>
      <c r="AZ618" s="3" t="s">
        <v>75</v>
      </c>
      <c r="BB618" s="3" t="s">
        <v>7305</v>
      </c>
      <c r="BC618" s="3" t="s">
        <v>7306</v>
      </c>
      <c r="BD618" s="3" t="s">
        <v>7307</v>
      </c>
    </row>
    <row r="619" spans="1:56" ht="44.25" customHeight="1" x14ac:dyDescent="0.25">
      <c r="A619" s="7" t="s">
        <v>61</v>
      </c>
      <c r="B619" s="2" t="s">
        <v>7308</v>
      </c>
      <c r="C619" s="2" t="s">
        <v>7309</v>
      </c>
      <c r="D619" s="2" t="s">
        <v>7310</v>
      </c>
      <c r="F619" s="3" t="s">
        <v>61</v>
      </c>
      <c r="G619" s="3" t="s">
        <v>60</v>
      </c>
      <c r="H619" s="3" t="s">
        <v>61</v>
      </c>
      <c r="I619" s="3" t="s">
        <v>61</v>
      </c>
      <c r="J619" s="3" t="s">
        <v>62</v>
      </c>
      <c r="K619" s="2" t="s">
        <v>7311</v>
      </c>
      <c r="L619" s="2" t="s">
        <v>7312</v>
      </c>
      <c r="M619" s="3" t="s">
        <v>113</v>
      </c>
      <c r="O619" s="3" t="s">
        <v>114</v>
      </c>
      <c r="P619" s="3" t="s">
        <v>67</v>
      </c>
      <c r="Q619" s="2" t="s">
        <v>7313</v>
      </c>
      <c r="R619" s="3" t="s">
        <v>68</v>
      </c>
      <c r="S619" s="4">
        <v>22</v>
      </c>
      <c r="T619" s="4">
        <v>22</v>
      </c>
      <c r="U619" s="5" t="s">
        <v>7287</v>
      </c>
      <c r="V619" s="5" t="s">
        <v>7287</v>
      </c>
      <c r="W619" s="5" t="s">
        <v>117</v>
      </c>
      <c r="X619" s="5" t="s">
        <v>117</v>
      </c>
      <c r="Y619" s="4">
        <v>122</v>
      </c>
      <c r="Z619" s="4">
        <v>106</v>
      </c>
      <c r="AA619" s="4">
        <v>1093</v>
      </c>
      <c r="AB619" s="4">
        <v>1</v>
      </c>
      <c r="AC619" s="4">
        <v>12</v>
      </c>
      <c r="AD619" s="4">
        <v>6</v>
      </c>
      <c r="AE619" s="4">
        <v>46</v>
      </c>
      <c r="AF619" s="4">
        <v>3</v>
      </c>
      <c r="AG619" s="4">
        <v>17</v>
      </c>
      <c r="AH619" s="4">
        <v>0</v>
      </c>
      <c r="AI619" s="4">
        <v>8</v>
      </c>
      <c r="AJ619" s="4">
        <v>4</v>
      </c>
      <c r="AK619" s="4">
        <v>19</v>
      </c>
      <c r="AL619" s="4">
        <v>0</v>
      </c>
      <c r="AM619" s="4">
        <v>11</v>
      </c>
      <c r="AN619" s="4">
        <v>0</v>
      </c>
      <c r="AO619" s="4">
        <v>0</v>
      </c>
      <c r="AP619" s="3" t="s">
        <v>61</v>
      </c>
      <c r="AQ619" s="3" t="s">
        <v>61</v>
      </c>
      <c r="AS619" s="6" t="str">
        <f>HYPERLINK("https://creighton-primo.hosted.exlibrisgroup.com/primo-explore/search?tab=default_tab&amp;search_scope=EVERYTHING&amp;vid=01CRU&amp;lang=en_US&amp;offset=0&amp;query=any,contains,991003404769702656","Catalog Record")</f>
        <v>Catalog Record</v>
      </c>
      <c r="AT619" s="6" t="str">
        <f>HYPERLINK("http://www.worldcat.org/oclc/944488","WorldCat Record")</f>
        <v>WorldCat Record</v>
      </c>
      <c r="AU619" s="3" t="s">
        <v>7314</v>
      </c>
      <c r="AV619" s="3" t="s">
        <v>7315</v>
      </c>
      <c r="AW619" s="3" t="s">
        <v>7316</v>
      </c>
      <c r="AX619" s="3" t="s">
        <v>7316</v>
      </c>
      <c r="AY619" s="3" t="s">
        <v>7317</v>
      </c>
      <c r="AZ619" s="3" t="s">
        <v>75</v>
      </c>
      <c r="BC619" s="3" t="s">
        <v>7318</v>
      </c>
      <c r="BD619" s="3" t="s">
        <v>7319</v>
      </c>
    </row>
    <row r="620" spans="1:56" ht="44.25" customHeight="1" x14ac:dyDescent="0.25">
      <c r="A620" s="7" t="s">
        <v>61</v>
      </c>
      <c r="B620" s="2" t="s">
        <v>7320</v>
      </c>
      <c r="C620" s="2" t="s">
        <v>7321</v>
      </c>
      <c r="D620" s="2" t="s">
        <v>7322</v>
      </c>
      <c r="F620" s="3" t="s">
        <v>61</v>
      </c>
      <c r="G620" s="3" t="s">
        <v>60</v>
      </c>
      <c r="H620" s="3" t="s">
        <v>61</v>
      </c>
      <c r="I620" s="3" t="s">
        <v>61</v>
      </c>
      <c r="J620" s="3" t="s">
        <v>62</v>
      </c>
      <c r="K620" s="2" t="s">
        <v>7323</v>
      </c>
      <c r="L620" s="2" t="s">
        <v>7324</v>
      </c>
      <c r="M620" s="3" t="s">
        <v>579</v>
      </c>
      <c r="O620" s="3" t="s">
        <v>114</v>
      </c>
      <c r="P620" s="3" t="s">
        <v>6440</v>
      </c>
      <c r="R620" s="3" t="s">
        <v>68</v>
      </c>
      <c r="S620" s="4">
        <v>19</v>
      </c>
      <c r="T620" s="4">
        <v>19</v>
      </c>
      <c r="U620" s="5" t="s">
        <v>7287</v>
      </c>
      <c r="V620" s="5" t="s">
        <v>7287</v>
      </c>
      <c r="W620" s="5" t="s">
        <v>7325</v>
      </c>
      <c r="X620" s="5" t="s">
        <v>7325</v>
      </c>
      <c r="Y620" s="4">
        <v>702</v>
      </c>
      <c r="Z620" s="4">
        <v>602</v>
      </c>
      <c r="AA620" s="4">
        <v>712</v>
      </c>
      <c r="AB620" s="4">
        <v>4</v>
      </c>
      <c r="AC620" s="4">
        <v>4</v>
      </c>
      <c r="AD620" s="4">
        <v>28</v>
      </c>
      <c r="AE620" s="4">
        <v>30</v>
      </c>
      <c r="AF620" s="4">
        <v>10</v>
      </c>
      <c r="AG620" s="4">
        <v>12</v>
      </c>
      <c r="AH620" s="4">
        <v>5</v>
      </c>
      <c r="AI620" s="4">
        <v>6</v>
      </c>
      <c r="AJ620" s="4">
        <v>17</v>
      </c>
      <c r="AK620" s="4">
        <v>17</v>
      </c>
      <c r="AL620" s="4">
        <v>3</v>
      </c>
      <c r="AM620" s="4">
        <v>3</v>
      </c>
      <c r="AN620" s="4">
        <v>1</v>
      </c>
      <c r="AO620" s="4">
        <v>1</v>
      </c>
      <c r="AP620" s="3" t="s">
        <v>61</v>
      </c>
      <c r="AQ620" s="3" t="s">
        <v>59</v>
      </c>
      <c r="AR620" s="6" t="str">
        <f>HYPERLINK("http://catalog.hathitrust.org/Record/000591748","HathiTrust Record")</f>
        <v>HathiTrust Record</v>
      </c>
      <c r="AS620" s="6" t="str">
        <f>HYPERLINK("https://creighton-primo.hosted.exlibrisgroup.com/primo-explore/search?tab=default_tab&amp;search_scope=EVERYTHING&amp;vid=01CRU&amp;lang=en_US&amp;offset=0&amp;query=any,contains,991000863569702656","Catalog Record")</f>
        <v>Catalog Record</v>
      </c>
      <c r="AT620" s="6" t="str">
        <f>HYPERLINK("http://www.worldcat.org/oclc/13702214","WorldCat Record")</f>
        <v>WorldCat Record</v>
      </c>
      <c r="AU620" s="3" t="s">
        <v>7326</v>
      </c>
      <c r="AV620" s="3" t="s">
        <v>7327</v>
      </c>
      <c r="AW620" s="3" t="s">
        <v>7328</v>
      </c>
      <c r="AX620" s="3" t="s">
        <v>7328</v>
      </c>
      <c r="AY620" s="3" t="s">
        <v>7329</v>
      </c>
      <c r="AZ620" s="3" t="s">
        <v>75</v>
      </c>
      <c r="BB620" s="3" t="s">
        <v>7330</v>
      </c>
      <c r="BC620" s="3" t="s">
        <v>7331</v>
      </c>
      <c r="BD620" s="3" t="s">
        <v>7332</v>
      </c>
    </row>
    <row r="621" spans="1:56" ht="44.25" customHeight="1" x14ac:dyDescent="0.25">
      <c r="A621" s="7" t="s">
        <v>61</v>
      </c>
      <c r="B621" s="2" t="s">
        <v>7333</v>
      </c>
      <c r="C621" s="2" t="s">
        <v>7334</v>
      </c>
      <c r="D621" s="2" t="s">
        <v>7335</v>
      </c>
      <c r="F621" s="3" t="s">
        <v>61</v>
      </c>
      <c r="G621" s="3" t="s">
        <v>60</v>
      </c>
      <c r="H621" s="3" t="s">
        <v>61</v>
      </c>
      <c r="I621" s="3" t="s">
        <v>61</v>
      </c>
      <c r="J621" s="3" t="s">
        <v>62</v>
      </c>
      <c r="K621" s="2" t="s">
        <v>7336</v>
      </c>
      <c r="L621" s="2" t="s">
        <v>7337</v>
      </c>
      <c r="M621" s="3" t="s">
        <v>436</v>
      </c>
      <c r="N621" s="2" t="s">
        <v>634</v>
      </c>
      <c r="O621" s="3" t="s">
        <v>114</v>
      </c>
      <c r="P621" s="3" t="s">
        <v>235</v>
      </c>
      <c r="R621" s="3" t="s">
        <v>68</v>
      </c>
      <c r="S621" s="4">
        <v>21</v>
      </c>
      <c r="T621" s="4">
        <v>21</v>
      </c>
      <c r="U621" s="5" t="s">
        <v>7287</v>
      </c>
      <c r="V621" s="5" t="s">
        <v>7287</v>
      </c>
      <c r="W621" s="5" t="s">
        <v>2699</v>
      </c>
      <c r="X621" s="5" t="s">
        <v>2699</v>
      </c>
      <c r="Y621" s="4">
        <v>426</v>
      </c>
      <c r="Z621" s="4">
        <v>398</v>
      </c>
      <c r="AA621" s="4">
        <v>434</v>
      </c>
      <c r="AB621" s="4">
        <v>4</v>
      </c>
      <c r="AC621" s="4">
        <v>4</v>
      </c>
      <c r="AD621" s="4">
        <v>13</v>
      </c>
      <c r="AE621" s="4">
        <v>14</v>
      </c>
      <c r="AF621" s="4">
        <v>4</v>
      </c>
      <c r="AG621" s="4">
        <v>4</v>
      </c>
      <c r="AH621" s="4">
        <v>2</v>
      </c>
      <c r="AI621" s="4">
        <v>3</v>
      </c>
      <c r="AJ621" s="4">
        <v>8</v>
      </c>
      <c r="AK621" s="4">
        <v>9</v>
      </c>
      <c r="AL621" s="4">
        <v>3</v>
      </c>
      <c r="AM621" s="4">
        <v>3</v>
      </c>
      <c r="AN621" s="4">
        <v>0</v>
      </c>
      <c r="AO621" s="4">
        <v>0</v>
      </c>
      <c r="AP621" s="3" t="s">
        <v>61</v>
      </c>
      <c r="AQ621" s="3" t="s">
        <v>61</v>
      </c>
      <c r="AS621" s="6" t="str">
        <f>HYPERLINK("https://creighton-primo.hosted.exlibrisgroup.com/primo-explore/search?tab=default_tab&amp;search_scope=EVERYTHING&amp;vid=01CRU&amp;lang=en_US&amp;offset=0&amp;query=any,contains,991001498639702656","Catalog Record")</f>
        <v>Catalog Record</v>
      </c>
      <c r="AT621" s="6" t="str">
        <f>HYPERLINK("http://www.worldcat.org/oclc/19778151","WorldCat Record")</f>
        <v>WorldCat Record</v>
      </c>
      <c r="AU621" s="3" t="s">
        <v>7338</v>
      </c>
      <c r="AV621" s="3" t="s">
        <v>7339</v>
      </c>
      <c r="AW621" s="3" t="s">
        <v>7340</v>
      </c>
      <c r="AX621" s="3" t="s">
        <v>7340</v>
      </c>
      <c r="AY621" s="3" t="s">
        <v>7341</v>
      </c>
      <c r="AZ621" s="3" t="s">
        <v>75</v>
      </c>
      <c r="BB621" s="3" t="s">
        <v>7342</v>
      </c>
      <c r="BC621" s="3" t="s">
        <v>7343</v>
      </c>
      <c r="BD621" s="3" t="s">
        <v>7344</v>
      </c>
    </row>
    <row r="622" spans="1:56" ht="44.25" customHeight="1" x14ac:dyDescent="0.25">
      <c r="A622" s="7" t="s">
        <v>61</v>
      </c>
      <c r="B622" s="2" t="s">
        <v>7345</v>
      </c>
      <c r="C622" s="2" t="s">
        <v>7346</v>
      </c>
      <c r="D622" s="2" t="s">
        <v>7347</v>
      </c>
      <c r="F622" s="3" t="s">
        <v>61</v>
      </c>
      <c r="G622" s="3" t="s">
        <v>60</v>
      </c>
      <c r="H622" s="3" t="s">
        <v>61</v>
      </c>
      <c r="I622" s="3" t="s">
        <v>61</v>
      </c>
      <c r="J622" s="3" t="s">
        <v>62</v>
      </c>
      <c r="L622" s="2" t="s">
        <v>7348</v>
      </c>
      <c r="M622" s="3" t="s">
        <v>1870</v>
      </c>
      <c r="O622" s="3" t="s">
        <v>114</v>
      </c>
      <c r="P622" s="3" t="s">
        <v>235</v>
      </c>
      <c r="Q622" s="2" t="s">
        <v>7349</v>
      </c>
      <c r="R622" s="3" t="s">
        <v>68</v>
      </c>
      <c r="S622" s="4">
        <v>2</v>
      </c>
      <c r="T622" s="4">
        <v>2</v>
      </c>
      <c r="U622" s="5" t="s">
        <v>7350</v>
      </c>
      <c r="V622" s="5" t="s">
        <v>7350</v>
      </c>
      <c r="W622" s="5" t="s">
        <v>7351</v>
      </c>
      <c r="X622" s="5" t="s">
        <v>7351</v>
      </c>
      <c r="Y622" s="4">
        <v>242</v>
      </c>
      <c r="Z622" s="4">
        <v>194</v>
      </c>
      <c r="AA622" s="4">
        <v>194</v>
      </c>
      <c r="AB622" s="4">
        <v>2</v>
      </c>
      <c r="AC622" s="4">
        <v>2</v>
      </c>
      <c r="AD622" s="4">
        <v>10</v>
      </c>
      <c r="AE622" s="4">
        <v>10</v>
      </c>
      <c r="AF622" s="4">
        <v>2</v>
      </c>
      <c r="AG622" s="4">
        <v>2</v>
      </c>
      <c r="AH622" s="4">
        <v>4</v>
      </c>
      <c r="AI622" s="4">
        <v>4</v>
      </c>
      <c r="AJ622" s="4">
        <v>7</v>
      </c>
      <c r="AK622" s="4">
        <v>7</v>
      </c>
      <c r="AL622" s="4">
        <v>1</v>
      </c>
      <c r="AM622" s="4">
        <v>1</v>
      </c>
      <c r="AN622" s="4">
        <v>0</v>
      </c>
      <c r="AO622" s="4">
        <v>0</v>
      </c>
      <c r="AP622" s="3" t="s">
        <v>61</v>
      </c>
      <c r="AQ622" s="3" t="s">
        <v>61</v>
      </c>
      <c r="AS622" s="6" t="str">
        <f>HYPERLINK("https://creighton-primo.hosted.exlibrisgroup.com/primo-explore/search?tab=default_tab&amp;search_scope=EVERYTHING&amp;vid=01CRU&amp;lang=en_US&amp;offset=0&amp;query=any,contains,991002253409702656","Catalog Record")</f>
        <v>Catalog Record</v>
      </c>
      <c r="AT622" s="6" t="str">
        <f>HYPERLINK("http://www.worldcat.org/oclc/29185348","WorldCat Record")</f>
        <v>WorldCat Record</v>
      </c>
      <c r="AU622" s="3" t="s">
        <v>7352</v>
      </c>
      <c r="AV622" s="3" t="s">
        <v>7353</v>
      </c>
      <c r="AW622" s="3" t="s">
        <v>7354</v>
      </c>
      <c r="AX622" s="3" t="s">
        <v>7354</v>
      </c>
      <c r="AY622" s="3" t="s">
        <v>7355</v>
      </c>
      <c r="AZ622" s="3" t="s">
        <v>75</v>
      </c>
      <c r="BB622" s="3" t="s">
        <v>7356</v>
      </c>
      <c r="BC622" s="3" t="s">
        <v>7357</v>
      </c>
      <c r="BD622" s="3" t="s">
        <v>7358</v>
      </c>
    </row>
    <row r="623" spans="1:56" ht="44.25" customHeight="1" x14ac:dyDescent="0.25">
      <c r="A623" s="7" t="s">
        <v>61</v>
      </c>
      <c r="B623" s="2" t="s">
        <v>7359</v>
      </c>
      <c r="C623" s="2" t="s">
        <v>7360</v>
      </c>
      <c r="D623" s="2" t="s">
        <v>7361</v>
      </c>
      <c r="F623" s="3" t="s">
        <v>61</v>
      </c>
      <c r="G623" s="3" t="s">
        <v>60</v>
      </c>
      <c r="H623" s="3" t="s">
        <v>61</v>
      </c>
      <c r="I623" s="3" t="s">
        <v>61</v>
      </c>
      <c r="J623" s="3" t="s">
        <v>62</v>
      </c>
      <c r="K623" s="2" t="s">
        <v>7362</v>
      </c>
      <c r="L623" s="2" t="s">
        <v>7363</v>
      </c>
      <c r="M623" s="3" t="s">
        <v>2044</v>
      </c>
      <c r="N623" s="2" t="s">
        <v>306</v>
      </c>
      <c r="O623" s="3" t="s">
        <v>114</v>
      </c>
      <c r="P623" s="3" t="s">
        <v>235</v>
      </c>
      <c r="R623" s="3" t="s">
        <v>68</v>
      </c>
      <c r="S623" s="4">
        <v>17</v>
      </c>
      <c r="T623" s="4">
        <v>17</v>
      </c>
      <c r="U623" s="5" t="s">
        <v>7287</v>
      </c>
      <c r="V623" s="5" t="s">
        <v>7287</v>
      </c>
      <c r="W623" s="5" t="s">
        <v>7288</v>
      </c>
      <c r="X623" s="5" t="s">
        <v>7288</v>
      </c>
      <c r="Y623" s="4">
        <v>1278</v>
      </c>
      <c r="Z623" s="4">
        <v>1171</v>
      </c>
      <c r="AA623" s="4">
        <v>1364</v>
      </c>
      <c r="AB623" s="4">
        <v>12</v>
      </c>
      <c r="AC623" s="4">
        <v>13</v>
      </c>
      <c r="AD623" s="4">
        <v>43</v>
      </c>
      <c r="AE623" s="4">
        <v>51</v>
      </c>
      <c r="AF623" s="4">
        <v>15</v>
      </c>
      <c r="AG623" s="4">
        <v>20</v>
      </c>
      <c r="AH623" s="4">
        <v>9</v>
      </c>
      <c r="AI623" s="4">
        <v>10</v>
      </c>
      <c r="AJ623" s="4">
        <v>19</v>
      </c>
      <c r="AK623" s="4">
        <v>22</v>
      </c>
      <c r="AL623" s="4">
        <v>8</v>
      </c>
      <c r="AM623" s="4">
        <v>9</v>
      </c>
      <c r="AN623" s="4">
        <v>1</v>
      </c>
      <c r="AO623" s="4">
        <v>1</v>
      </c>
      <c r="AP623" s="3" t="s">
        <v>59</v>
      </c>
      <c r="AQ623" s="3" t="s">
        <v>61</v>
      </c>
      <c r="AR623" s="6" t="str">
        <f>HYPERLINK("http://catalog.hathitrust.org/Record/000445580","HathiTrust Record")</f>
        <v>HathiTrust Record</v>
      </c>
      <c r="AS623" s="6" t="str">
        <f>HYPERLINK("https://creighton-primo.hosted.exlibrisgroup.com/primo-explore/search?tab=default_tab&amp;search_scope=EVERYTHING&amp;vid=01CRU&amp;lang=en_US&amp;offset=0&amp;query=any,contains,991004142739702656","Catalog Record")</f>
        <v>Catalog Record</v>
      </c>
      <c r="AT623" s="6" t="str">
        <f>HYPERLINK("http://www.worldcat.org/oclc/2503656","WorldCat Record")</f>
        <v>WorldCat Record</v>
      </c>
      <c r="AU623" s="3" t="s">
        <v>7364</v>
      </c>
      <c r="AV623" s="3" t="s">
        <v>7365</v>
      </c>
      <c r="AW623" s="3" t="s">
        <v>7366</v>
      </c>
      <c r="AX623" s="3" t="s">
        <v>7366</v>
      </c>
      <c r="AY623" s="3" t="s">
        <v>7367</v>
      </c>
      <c r="AZ623" s="3" t="s">
        <v>75</v>
      </c>
      <c r="BC623" s="3" t="s">
        <v>7368</v>
      </c>
      <c r="BD623" s="3" t="s">
        <v>7369</v>
      </c>
    </row>
    <row r="624" spans="1:56" ht="44.25" customHeight="1" x14ac:dyDescent="0.25">
      <c r="A624" s="7" t="s">
        <v>61</v>
      </c>
      <c r="B624" s="2" t="s">
        <v>7370</v>
      </c>
      <c r="C624" s="2" t="s">
        <v>7371</v>
      </c>
      <c r="D624" s="2" t="s">
        <v>7372</v>
      </c>
      <c r="F624" s="3" t="s">
        <v>61</v>
      </c>
      <c r="G624" s="3" t="s">
        <v>60</v>
      </c>
      <c r="H624" s="3" t="s">
        <v>61</v>
      </c>
      <c r="I624" s="3" t="s">
        <v>61</v>
      </c>
      <c r="J624" s="3" t="s">
        <v>62</v>
      </c>
      <c r="K624" s="2" t="s">
        <v>7373</v>
      </c>
      <c r="L624" s="2" t="s">
        <v>7374</v>
      </c>
      <c r="M624" s="3" t="s">
        <v>7375</v>
      </c>
      <c r="O624" s="3" t="s">
        <v>114</v>
      </c>
      <c r="P624" s="3" t="s">
        <v>235</v>
      </c>
      <c r="R624" s="3" t="s">
        <v>68</v>
      </c>
      <c r="S624" s="4">
        <v>1</v>
      </c>
      <c r="T624" s="4">
        <v>1</v>
      </c>
      <c r="U624" s="5" t="s">
        <v>1816</v>
      </c>
      <c r="V624" s="5" t="s">
        <v>1816</v>
      </c>
      <c r="W624" s="5" t="s">
        <v>7196</v>
      </c>
      <c r="X624" s="5" t="s">
        <v>7196</v>
      </c>
      <c r="Y624" s="4">
        <v>362</v>
      </c>
      <c r="Z624" s="4">
        <v>330</v>
      </c>
      <c r="AA624" s="4">
        <v>336</v>
      </c>
      <c r="AB624" s="4">
        <v>5</v>
      </c>
      <c r="AC624" s="4">
        <v>5</v>
      </c>
      <c r="AD624" s="4">
        <v>27</v>
      </c>
      <c r="AE624" s="4">
        <v>27</v>
      </c>
      <c r="AF624" s="4">
        <v>11</v>
      </c>
      <c r="AG624" s="4">
        <v>11</v>
      </c>
      <c r="AH624" s="4">
        <v>6</v>
      </c>
      <c r="AI624" s="4">
        <v>6</v>
      </c>
      <c r="AJ624" s="4">
        <v>14</v>
      </c>
      <c r="AK624" s="4">
        <v>14</v>
      </c>
      <c r="AL624" s="4">
        <v>4</v>
      </c>
      <c r="AM624" s="4">
        <v>4</v>
      </c>
      <c r="AN624" s="4">
        <v>0</v>
      </c>
      <c r="AO624" s="4">
        <v>0</v>
      </c>
      <c r="AP624" s="3" t="s">
        <v>61</v>
      </c>
      <c r="AQ624" s="3" t="s">
        <v>61</v>
      </c>
      <c r="AR624" s="6" t="str">
        <f>HYPERLINK("http://catalog.hathitrust.org/Record/000489893","HathiTrust Record")</f>
        <v>HathiTrust Record</v>
      </c>
      <c r="AS624" s="6" t="str">
        <f>HYPERLINK("https://creighton-primo.hosted.exlibrisgroup.com/primo-explore/search?tab=default_tab&amp;search_scope=EVERYTHING&amp;vid=01CRU&amp;lang=en_US&amp;offset=0&amp;query=any,contains,991003680439702656","Catalog Record")</f>
        <v>Catalog Record</v>
      </c>
      <c r="AT624" s="6" t="str">
        <f>HYPERLINK("http://www.worldcat.org/oclc/1305821","WorldCat Record")</f>
        <v>WorldCat Record</v>
      </c>
      <c r="AU624" s="3" t="s">
        <v>7376</v>
      </c>
      <c r="AV624" s="3" t="s">
        <v>7377</v>
      </c>
      <c r="AW624" s="3" t="s">
        <v>7378</v>
      </c>
      <c r="AX624" s="3" t="s">
        <v>7378</v>
      </c>
      <c r="AY624" s="3" t="s">
        <v>7379</v>
      </c>
      <c r="AZ624" s="3" t="s">
        <v>75</v>
      </c>
      <c r="BC624" s="3" t="s">
        <v>7380</v>
      </c>
      <c r="BD624" s="3" t="s">
        <v>7381</v>
      </c>
    </row>
    <row r="625" spans="1:56" ht="44.25" customHeight="1" x14ac:dyDescent="0.25">
      <c r="A625" s="7" t="s">
        <v>61</v>
      </c>
      <c r="B625" s="2" t="s">
        <v>7382</v>
      </c>
      <c r="C625" s="2" t="s">
        <v>7383</v>
      </c>
      <c r="D625" s="2" t="s">
        <v>7384</v>
      </c>
      <c r="F625" s="3" t="s">
        <v>61</v>
      </c>
      <c r="G625" s="3" t="s">
        <v>60</v>
      </c>
      <c r="H625" s="3" t="s">
        <v>61</v>
      </c>
      <c r="I625" s="3" t="s">
        <v>61</v>
      </c>
      <c r="J625" s="3" t="s">
        <v>62</v>
      </c>
      <c r="K625" s="2" t="s">
        <v>7385</v>
      </c>
      <c r="M625" s="3" t="s">
        <v>3179</v>
      </c>
      <c r="O625" s="3" t="s">
        <v>114</v>
      </c>
      <c r="P625" s="3" t="s">
        <v>235</v>
      </c>
      <c r="R625" s="3" t="s">
        <v>68</v>
      </c>
      <c r="S625" s="4">
        <v>3</v>
      </c>
      <c r="T625" s="4">
        <v>3</v>
      </c>
      <c r="U625" s="5" t="s">
        <v>7386</v>
      </c>
      <c r="V625" s="5" t="s">
        <v>7386</v>
      </c>
      <c r="W625" s="5" t="s">
        <v>7387</v>
      </c>
      <c r="X625" s="5" t="s">
        <v>7387</v>
      </c>
      <c r="Y625" s="4">
        <v>460</v>
      </c>
      <c r="Z625" s="4">
        <v>440</v>
      </c>
      <c r="AA625" s="4">
        <v>457</v>
      </c>
      <c r="AB625" s="4">
        <v>5</v>
      </c>
      <c r="AC625" s="4">
        <v>5</v>
      </c>
      <c r="AD625" s="4">
        <v>33</v>
      </c>
      <c r="AE625" s="4">
        <v>33</v>
      </c>
      <c r="AF625" s="4">
        <v>11</v>
      </c>
      <c r="AG625" s="4">
        <v>11</v>
      </c>
      <c r="AH625" s="4">
        <v>7</v>
      </c>
      <c r="AI625" s="4">
        <v>7</v>
      </c>
      <c r="AJ625" s="4">
        <v>18</v>
      </c>
      <c r="AK625" s="4">
        <v>18</v>
      </c>
      <c r="AL625" s="4">
        <v>4</v>
      </c>
      <c r="AM625" s="4">
        <v>4</v>
      </c>
      <c r="AN625" s="4">
        <v>1</v>
      </c>
      <c r="AO625" s="4">
        <v>1</v>
      </c>
      <c r="AP625" s="3" t="s">
        <v>61</v>
      </c>
      <c r="AQ625" s="3" t="s">
        <v>61</v>
      </c>
      <c r="AR625" s="6" t="str">
        <f>HYPERLINK("http://catalog.hathitrust.org/Record/000489873","HathiTrust Record")</f>
        <v>HathiTrust Record</v>
      </c>
      <c r="AS625" s="6" t="str">
        <f>HYPERLINK("https://creighton-primo.hosted.exlibrisgroup.com/primo-explore/search?tab=default_tab&amp;search_scope=EVERYTHING&amp;vid=01CRU&amp;lang=en_US&amp;offset=0&amp;query=any,contains,991003603809702656","Catalog Record")</f>
        <v>Catalog Record</v>
      </c>
      <c r="AT625" s="6" t="str">
        <f>HYPERLINK("http://www.worldcat.org/oclc/1182887","WorldCat Record")</f>
        <v>WorldCat Record</v>
      </c>
      <c r="AU625" s="3" t="s">
        <v>7388</v>
      </c>
      <c r="AV625" s="3" t="s">
        <v>7389</v>
      </c>
      <c r="AW625" s="3" t="s">
        <v>7390</v>
      </c>
      <c r="AX625" s="3" t="s">
        <v>7390</v>
      </c>
      <c r="AY625" s="3" t="s">
        <v>7391</v>
      </c>
      <c r="AZ625" s="3" t="s">
        <v>75</v>
      </c>
      <c r="BC625" s="3" t="s">
        <v>7392</v>
      </c>
      <c r="BD625" s="3" t="s">
        <v>7393</v>
      </c>
    </row>
    <row r="626" spans="1:56" ht="44.25" customHeight="1" x14ac:dyDescent="0.25">
      <c r="A626" s="7" t="s">
        <v>61</v>
      </c>
      <c r="B626" s="2" t="s">
        <v>7394</v>
      </c>
      <c r="C626" s="2" t="s">
        <v>7395</v>
      </c>
      <c r="D626" s="2" t="s">
        <v>7396</v>
      </c>
      <c r="F626" s="3" t="s">
        <v>61</v>
      </c>
      <c r="G626" s="3" t="s">
        <v>60</v>
      </c>
      <c r="H626" s="3" t="s">
        <v>61</v>
      </c>
      <c r="I626" s="3" t="s">
        <v>61</v>
      </c>
      <c r="J626" s="3" t="s">
        <v>62</v>
      </c>
      <c r="K626" s="2" t="s">
        <v>7397</v>
      </c>
      <c r="L626" s="2" t="s">
        <v>7398</v>
      </c>
      <c r="M626" s="3" t="s">
        <v>1319</v>
      </c>
      <c r="O626" s="3" t="s">
        <v>1715</v>
      </c>
      <c r="P626" s="3" t="s">
        <v>1716</v>
      </c>
      <c r="Q626" s="2" t="s">
        <v>7399</v>
      </c>
      <c r="R626" s="3" t="s">
        <v>68</v>
      </c>
      <c r="S626" s="4">
        <v>1</v>
      </c>
      <c r="T626" s="4">
        <v>1</v>
      </c>
      <c r="U626" s="5" t="s">
        <v>872</v>
      </c>
      <c r="V626" s="5" t="s">
        <v>872</v>
      </c>
      <c r="W626" s="5" t="s">
        <v>872</v>
      </c>
      <c r="X626" s="5" t="s">
        <v>872</v>
      </c>
      <c r="Y626" s="4">
        <v>118</v>
      </c>
      <c r="Z626" s="4">
        <v>61</v>
      </c>
      <c r="AA626" s="4">
        <v>62</v>
      </c>
      <c r="AB626" s="4">
        <v>2</v>
      </c>
      <c r="AC626" s="4">
        <v>2</v>
      </c>
      <c r="AD626" s="4">
        <v>5</v>
      </c>
      <c r="AE626" s="4">
        <v>5</v>
      </c>
      <c r="AF626" s="4">
        <v>0</v>
      </c>
      <c r="AG626" s="4">
        <v>0</v>
      </c>
      <c r="AH626" s="4">
        <v>1</v>
      </c>
      <c r="AI626" s="4">
        <v>1</v>
      </c>
      <c r="AJ626" s="4">
        <v>3</v>
      </c>
      <c r="AK626" s="4">
        <v>3</v>
      </c>
      <c r="AL626" s="4">
        <v>1</v>
      </c>
      <c r="AM626" s="4">
        <v>1</v>
      </c>
      <c r="AN626" s="4">
        <v>0</v>
      </c>
      <c r="AO626" s="4">
        <v>0</v>
      </c>
      <c r="AP626" s="3" t="s">
        <v>61</v>
      </c>
      <c r="AQ626" s="3" t="s">
        <v>59</v>
      </c>
      <c r="AR626" s="6" t="str">
        <f>HYPERLINK("http://catalog.hathitrust.org/Record/001172659","HathiTrust Record")</f>
        <v>HathiTrust Record</v>
      </c>
      <c r="AS626" s="6" t="str">
        <f>HYPERLINK("https://creighton-primo.hosted.exlibrisgroup.com/primo-explore/search?tab=default_tab&amp;search_scope=EVERYTHING&amp;vid=01CRU&amp;lang=en_US&amp;offset=0&amp;query=any,contains,991003613699702656","Catalog Record")</f>
        <v>Catalog Record</v>
      </c>
      <c r="AT626" s="6" t="str">
        <f>HYPERLINK("http://www.worldcat.org/oclc/3737741","WorldCat Record")</f>
        <v>WorldCat Record</v>
      </c>
      <c r="AU626" s="3" t="s">
        <v>7400</v>
      </c>
      <c r="AV626" s="3" t="s">
        <v>7401</v>
      </c>
      <c r="AW626" s="3" t="s">
        <v>7402</v>
      </c>
      <c r="AX626" s="3" t="s">
        <v>7402</v>
      </c>
      <c r="AY626" s="3" t="s">
        <v>7403</v>
      </c>
      <c r="AZ626" s="3" t="s">
        <v>75</v>
      </c>
      <c r="BC626" s="3" t="s">
        <v>7404</v>
      </c>
      <c r="BD626" s="3" t="s">
        <v>7405</v>
      </c>
    </row>
    <row r="627" spans="1:56" ht="44.25" customHeight="1" x14ac:dyDescent="0.25">
      <c r="A627" s="7" t="s">
        <v>61</v>
      </c>
      <c r="B627" s="2" t="s">
        <v>7406</v>
      </c>
      <c r="C627" s="2" t="s">
        <v>7407</v>
      </c>
      <c r="D627" s="2" t="s">
        <v>7408</v>
      </c>
      <c r="F627" s="3" t="s">
        <v>61</v>
      </c>
      <c r="G627" s="3" t="s">
        <v>60</v>
      </c>
      <c r="H627" s="3" t="s">
        <v>61</v>
      </c>
      <c r="I627" s="3" t="s">
        <v>61</v>
      </c>
      <c r="J627" s="3" t="s">
        <v>62</v>
      </c>
      <c r="K627" s="2" t="s">
        <v>7409</v>
      </c>
      <c r="L627" s="2" t="s">
        <v>7410</v>
      </c>
      <c r="M627" s="3" t="s">
        <v>5844</v>
      </c>
      <c r="O627" s="3" t="s">
        <v>114</v>
      </c>
      <c r="P627" s="3" t="s">
        <v>115</v>
      </c>
      <c r="R627" s="3" t="s">
        <v>68</v>
      </c>
      <c r="S627" s="4">
        <v>2</v>
      </c>
      <c r="T627" s="4">
        <v>2</v>
      </c>
      <c r="U627" s="5" t="s">
        <v>7411</v>
      </c>
      <c r="V627" s="5" t="s">
        <v>7411</v>
      </c>
      <c r="W627" s="5" t="s">
        <v>7196</v>
      </c>
      <c r="X627" s="5" t="s">
        <v>7196</v>
      </c>
      <c r="Y627" s="4">
        <v>139</v>
      </c>
      <c r="Z627" s="4">
        <v>127</v>
      </c>
      <c r="AA627" s="4">
        <v>229</v>
      </c>
      <c r="AB627" s="4">
        <v>3</v>
      </c>
      <c r="AC627" s="4">
        <v>6</v>
      </c>
      <c r="AD627" s="4">
        <v>7</v>
      </c>
      <c r="AE627" s="4">
        <v>20</v>
      </c>
      <c r="AF627" s="4">
        <v>3</v>
      </c>
      <c r="AG627" s="4">
        <v>5</v>
      </c>
      <c r="AH627" s="4">
        <v>1</v>
      </c>
      <c r="AI627" s="4">
        <v>4</v>
      </c>
      <c r="AJ627" s="4">
        <v>3</v>
      </c>
      <c r="AK627" s="4">
        <v>7</v>
      </c>
      <c r="AL627" s="4">
        <v>2</v>
      </c>
      <c r="AM627" s="4">
        <v>3</v>
      </c>
      <c r="AN627" s="4">
        <v>0</v>
      </c>
      <c r="AO627" s="4">
        <v>4</v>
      </c>
      <c r="AP627" s="3" t="s">
        <v>59</v>
      </c>
      <c r="AQ627" s="3" t="s">
        <v>61</v>
      </c>
      <c r="AR627" s="6" t="str">
        <f>HYPERLINK("http://catalog.hathitrust.org/Record/001154708","HathiTrust Record")</f>
        <v>HathiTrust Record</v>
      </c>
      <c r="AS627" s="6" t="str">
        <f>HYPERLINK("https://creighton-primo.hosted.exlibrisgroup.com/primo-explore/search?tab=default_tab&amp;search_scope=EVERYTHING&amp;vid=01CRU&amp;lang=en_US&amp;offset=0&amp;query=any,contains,991004995069702656","Catalog Record")</f>
        <v>Catalog Record</v>
      </c>
      <c r="AT627" s="6" t="str">
        <f>HYPERLINK("http://www.worldcat.org/oclc/6508275","WorldCat Record")</f>
        <v>WorldCat Record</v>
      </c>
      <c r="AU627" s="3" t="s">
        <v>7412</v>
      </c>
      <c r="AV627" s="3" t="s">
        <v>7413</v>
      </c>
      <c r="AW627" s="3" t="s">
        <v>7414</v>
      </c>
      <c r="AX627" s="3" t="s">
        <v>7414</v>
      </c>
      <c r="AY627" s="3" t="s">
        <v>7415</v>
      </c>
      <c r="AZ627" s="3" t="s">
        <v>75</v>
      </c>
      <c r="BC627" s="3" t="s">
        <v>7416</v>
      </c>
      <c r="BD627" s="3" t="s">
        <v>7417</v>
      </c>
    </row>
    <row r="628" spans="1:56" ht="44.25" customHeight="1" x14ac:dyDescent="0.25">
      <c r="A628" s="7" t="s">
        <v>61</v>
      </c>
      <c r="B628" s="2" t="s">
        <v>7418</v>
      </c>
      <c r="C628" s="2" t="s">
        <v>7419</v>
      </c>
      <c r="D628" s="2" t="s">
        <v>7420</v>
      </c>
      <c r="F628" s="3" t="s">
        <v>61</v>
      </c>
      <c r="G628" s="3" t="s">
        <v>60</v>
      </c>
      <c r="H628" s="3" t="s">
        <v>61</v>
      </c>
      <c r="I628" s="3" t="s">
        <v>61</v>
      </c>
      <c r="J628" s="3" t="s">
        <v>62</v>
      </c>
      <c r="L628" s="2" t="s">
        <v>7421</v>
      </c>
      <c r="M628" s="3" t="s">
        <v>350</v>
      </c>
      <c r="O628" s="3" t="s">
        <v>114</v>
      </c>
      <c r="P628" s="3" t="s">
        <v>437</v>
      </c>
      <c r="R628" s="3" t="s">
        <v>68</v>
      </c>
      <c r="S628" s="4">
        <v>5</v>
      </c>
      <c r="T628" s="4">
        <v>5</v>
      </c>
      <c r="U628" s="5" t="s">
        <v>6223</v>
      </c>
      <c r="V628" s="5" t="s">
        <v>6223</v>
      </c>
      <c r="W628" s="5" t="s">
        <v>7422</v>
      </c>
      <c r="X628" s="5" t="s">
        <v>7422</v>
      </c>
      <c r="Y628" s="4">
        <v>754</v>
      </c>
      <c r="Z628" s="4">
        <v>650</v>
      </c>
      <c r="AA628" s="4">
        <v>652</v>
      </c>
      <c r="AB628" s="4">
        <v>5</v>
      </c>
      <c r="AC628" s="4">
        <v>5</v>
      </c>
      <c r="AD628" s="4">
        <v>28</v>
      </c>
      <c r="AE628" s="4">
        <v>28</v>
      </c>
      <c r="AF628" s="4">
        <v>13</v>
      </c>
      <c r="AG628" s="4">
        <v>13</v>
      </c>
      <c r="AH628" s="4">
        <v>7</v>
      </c>
      <c r="AI628" s="4">
        <v>7</v>
      </c>
      <c r="AJ628" s="4">
        <v>13</v>
      </c>
      <c r="AK628" s="4">
        <v>13</v>
      </c>
      <c r="AL628" s="4">
        <v>4</v>
      </c>
      <c r="AM628" s="4">
        <v>4</v>
      </c>
      <c r="AN628" s="4">
        <v>0</v>
      </c>
      <c r="AO628" s="4">
        <v>0</v>
      </c>
      <c r="AP628" s="3" t="s">
        <v>61</v>
      </c>
      <c r="AQ628" s="3" t="s">
        <v>59</v>
      </c>
      <c r="AR628" s="6" t="str">
        <f>HYPERLINK("http://catalog.hathitrust.org/Record/000039014","HathiTrust Record")</f>
        <v>HathiTrust Record</v>
      </c>
      <c r="AS628" s="6" t="str">
        <f>HYPERLINK("https://creighton-primo.hosted.exlibrisgroup.com/primo-explore/search?tab=default_tab&amp;search_scope=EVERYTHING&amp;vid=01CRU&amp;lang=en_US&amp;offset=0&amp;query=any,contains,991004714529702656","Catalog Record")</f>
        <v>Catalog Record</v>
      </c>
      <c r="AT628" s="6" t="str">
        <f>HYPERLINK("http://www.worldcat.org/oclc/4775521","WorldCat Record")</f>
        <v>WorldCat Record</v>
      </c>
      <c r="AU628" s="3" t="s">
        <v>7423</v>
      </c>
      <c r="AV628" s="3" t="s">
        <v>7424</v>
      </c>
      <c r="AW628" s="3" t="s">
        <v>7425</v>
      </c>
      <c r="AX628" s="3" t="s">
        <v>7425</v>
      </c>
      <c r="AY628" s="3" t="s">
        <v>7426</v>
      </c>
      <c r="AZ628" s="3" t="s">
        <v>75</v>
      </c>
      <c r="BB628" s="3" t="s">
        <v>7427</v>
      </c>
      <c r="BC628" s="3" t="s">
        <v>7428</v>
      </c>
      <c r="BD628" s="3" t="s">
        <v>7429</v>
      </c>
    </row>
    <row r="629" spans="1:56" ht="44.25" customHeight="1" x14ac:dyDescent="0.25">
      <c r="A629" s="7" t="s">
        <v>61</v>
      </c>
      <c r="B629" s="2" t="s">
        <v>7430</v>
      </c>
      <c r="C629" s="2" t="s">
        <v>7431</v>
      </c>
      <c r="D629" s="2" t="s">
        <v>7432</v>
      </c>
      <c r="F629" s="3" t="s">
        <v>61</v>
      </c>
      <c r="G629" s="3" t="s">
        <v>60</v>
      </c>
      <c r="H629" s="3" t="s">
        <v>61</v>
      </c>
      <c r="I629" s="3" t="s">
        <v>61</v>
      </c>
      <c r="J629" s="3" t="s">
        <v>62</v>
      </c>
      <c r="K629" s="2" t="s">
        <v>7433</v>
      </c>
      <c r="L629" s="2" t="s">
        <v>7434</v>
      </c>
      <c r="M629" s="3" t="s">
        <v>305</v>
      </c>
      <c r="O629" s="3" t="s">
        <v>114</v>
      </c>
      <c r="P629" s="3" t="s">
        <v>235</v>
      </c>
      <c r="R629" s="3" t="s">
        <v>68</v>
      </c>
      <c r="S629" s="4">
        <v>5</v>
      </c>
      <c r="T629" s="4">
        <v>5</v>
      </c>
      <c r="U629" s="5" t="s">
        <v>1730</v>
      </c>
      <c r="V629" s="5" t="s">
        <v>1730</v>
      </c>
      <c r="W629" s="5" t="s">
        <v>7435</v>
      </c>
      <c r="X629" s="5" t="s">
        <v>7435</v>
      </c>
      <c r="Y629" s="4">
        <v>667</v>
      </c>
      <c r="Z629" s="4">
        <v>633</v>
      </c>
      <c r="AA629" s="4">
        <v>695</v>
      </c>
      <c r="AB629" s="4">
        <v>9</v>
      </c>
      <c r="AC629" s="4">
        <v>10</v>
      </c>
      <c r="AD629" s="4">
        <v>34</v>
      </c>
      <c r="AE629" s="4">
        <v>36</v>
      </c>
      <c r="AF629" s="4">
        <v>12</v>
      </c>
      <c r="AG629" s="4">
        <v>13</v>
      </c>
      <c r="AH629" s="4">
        <v>7</v>
      </c>
      <c r="AI629" s="4">
        <v>7</v>
      </c>
      <c r="AJ629" s="4">
        <v>15</v>
      </c>
      <c r="AK629" s="4">
        <v>15</v>
      </c>
      <c r="AL629" s="4">
        <v>8</v>
      </c>
      <c r="AM629" s="4">
        <v>9</v>
      </c>
      <c r="AN629" s="4">
        <v>0</v>
      </c>
      <c r="AO629" s="4">
        <v>0</v>
      </c>
      <c r="AP629" s="3" t="s">
        <v>61</v>
      </c>
      <c r="AQ629" s="3" t="s">
        <v>59</v>
      </c>
      <c r="AR629" s="6" t="str">
        <f>HYPERLINK("http://catalog.hathitrust.org/Record/000489127","HathiTrust Record")</f>
        <v>HathiTrust Record</v>
      </c>
      <c r="AS629" s="6" t="str">
        <f>HYPERLINK("https://creighton-primo.hosted.exlibrisgroup.com/primo-explore/search?tab=default_tab&amp;search_scope=EVERYTHING&amp;vid=01CRU&amp;lang=en_US&amp;offset=0&amp;query=any,contains,991000730539702656","Catalog Record")</f>
        <v>Catalog Record</v>
      </c>
      <c r="AT629" s="6" t="str">
        <f>HYPERLINK("http://www.worldcat.org/oclc/12723697","WorldCat Record")</f>
        <v>WorldCat Record</v>
      </c>
      <c r="AU629" s="3" t="s">
        <v>7436</v>
      </c>
      <c r="AV629" s="3" t="s">
        <v>7437</v>
      </c>
      <c r="AW629" s="3" t="s">
        <v>7438</v>
      </c>
      <c r="AX629" s="3" t="s">
        <v>7438</v>
      </c>
      <c r="AY629" s="3" t="s">
        <v>7439</v>
      </c>
      <c r="AZ629" s="3" t="s">
        <v>75</v>
      </c>
      <c r="BC629" s="3" t="s">
        <v>7440</v>
      </c>
      <c r="BD629" s="3" t="s">
        <v>7441</v>
      </c>
    </row>
    <row r="630" spans="1:56" ht="44.25" customHeight="1" x14ac:dyDescent="0.25">
      <c r="A630" s="7" t="s">
        <v>61</v>
      </c>
      <c r="B630" s="2" t="s">
        <v>7442</v>
      </c>
      <c r="C630" s="2" t="s">
        <v>7443</v>
      </c>
      <c r="D630" s="2" t="s">
        <v>7444</v>
      </c>
      <c r="F630" s="3" t="s">
        <v>61</v>
      </c>
      <c r="G630" s="3" t="s">
        <v>60</v>
      </c>
      <c r="H630" s="3" t="s">
        <v>61</v>
      </c>
      <c r="I630" s="3" t="s">
        <v>61</v>
      </c>
      <c r="J630" s="3" t="s">
        <v>62</v>
      </c>
      <c r="K630" s="2" t="s">
        <v>7433</v>
      </c>
      <c r="L630" s="2" t="s">
        <v>7445</v>
      </c>
      <c r="M630" s="3" t="s">
        <v>1319</v>
      </c>
      <c r="O630" s="3" t="s">
        <v>114</v>
      </c>
      <c r="P630" s="3" t="s">
        <v>192</v>
      </c>
      <c r="R630" s="3" t="s">
        <v>68</v>
      </c>
      <c r="S630" s="4">
        <v>3</v>
      </c>
      <c r="T630" s="4">
        <v>3</v>
      </c>
      <c r="U630" s="5" t="s">
        <v>7446</v>
      </c>
      <c r="V630" s="5" t="s">
        <v>7446</v>
      </c>
      <c r="W630" s="5" t="s">
        <v>7300</v>
      </c>
      <c r="X630" s="5" t="s">
        <v>7300</v>
      </c>
      <c r="Y630" s="4">
        <v>225</v>
      </c>
      <c r="Z630" s="4">
        <v>160</v>
      </c>
      <c r="AA630" s="4">
        <v>199</v>
      </c>
      <c r="AB630" s="4">
        <v>4</v>
      </c>
      <c r="AC630" s="4">
        <v>4</v>
      </c>
      <c r="AD630" s="4">
        <v>9</v>
      </c>
      <c r="AE630" s="4">
        <v>10</v>
      </c>
      <c r="AF630" s="4">
        <v>2</v>
      </c>
      <c r="AG630" s="4">
        <v>2</v>
      </c>
      <c r="AH630" s="4">
        <v>3</v>
      </c>
      <c r="AI630" s="4">
        <v>4</v>
      </c>
      <c r="AJ630" s="4">
        <v>3</v>
      </c>
      <c r="AK630" s="4">
        <v>4</v>
      </c>
      <c r="AL630" s="4">
        <v>3</v>
      </c>
      <c r="AM630" s="4">
        <v>3</v>
      </c>
      <c r="AN630" s="4">
        <v>0</v>
      </c>
      <c r="AO630" s="4">
        <v>0</v>
      </c>
      <c r="AP630" s="3" t="s">
        <v>61</v>
      </c>
      <c r="AQ630" s="3" t="s">
        <v>59</v>
      </c>
      <c r="AR630" s="6" t="str">
        <f>HYPERLINK("http://catalog.hathitrust.org/Record/000490321","HathiTrust Record")</f>
        <v>HathiTrust Record</v>
      </c>
      <c r="AS630" s="6" t="str">
        <f>HYPERLINK("https://creighton-primo.hosted.exlibrisgroup.com/primo-explore/search?tab=default_tab&amp;search_scope=EVERYTHING&amp;vid=01CRU&amp;lang=en_US&amp;offset=0&amp;query=any,contains,991001017809702656","Catalog Record")</f>
        <v>Catalog Record</v>
      </c>
      <c r="AT630" s="6" t="str">
        <f>HYPERLINK("http://www.worldcat.org/oclc/15338507","WorldCat Record")</f>
        <v>WorldCat Record</v>
      </c>
      <c r="AU630" s="3" t="s">
        <v>7447</v>
      </c>
      <c r="AV630" s="3" t="s">
        <v>7448</v>
      </c>
      <c r="AW630" s="3" t="s">
        <v>7449</v>
      </c>
      <c r="AX630" s="3" t="s">
        <v>7449</v>
      </c>
      <c r="AY630" s="3" t="s">
        <v>7450</v>
      </c>
      <c r="AZ630" s="3" t="s">
        <v>75</v>
      </c>
      <c r="BC630" s="3" t="s">
        <v>7451</v>
      </c>
      <c r="BD630" s="3" t="s">
        <v>7452</v>
      </c>
    </row>
    <row r="631" spans="1:56" ht="44.25" customHeight="1" x14ac:dyDescent="0.25">
      <c r="A631" s="7" t="s">
        <v>61</v>
      </c>
      <c r="B631" s="2" t="s">
        <v>7453</v>
      </c>
      <c r="C631" s="2" t="s">
        <v>7454</v>
      </c>
      <c r="D631" s="2" t="s">
        <v>7455</v>
      </c>
      <c r="F631" s="3" t="s">
        <v>61</v>
      </c>
      <c r="G631" s="3" t="s">
        <v>60</v>
      </c>
      <c r="H631" s="3" t="s">
        <v>61</v>
      </c>
      <c r="I631" s="3" t="s">
        <v>61</v>
      </c>
      <c r="J631" s="3" t="s">
        <v>62</v>
      </c>
      <c r="K631" s="2" t="s">
        <v>7456</v>
      </c>
      <c r="L631" s="2" t="s">
        <v>7457</v>
      </c>
      <c r="M631" s="3" t="s">
        <v>5844</v>
      </c>
      <c r="O631" s="3" t="s">
        <v>114</v>
      </c>
      <c r="P631" s="3" t="s">
        <v>619</v>
      </c>
      <c r="Q631" s="2" t="s">
        <v>7458</v>
      </c>
      <c r="R631" s="3" t="s">
        <v>68</v>
      </c>
      <c r="S631" s="4">
        <v>2</v>
      </c>
      <c r="T631" s="4">
        <v>2</v>
      </c>
      <c r="U631" s="5" t="s">
        <v>7459</v>
      </c>
      <c r="V631" s="5" t="s">
        <v>7459</v>
      </c>
      <c r="W631" s="5" t="s">
        <v>7459</v>
      </c>
      <c r="X631" s="5" t="s">
        <v>7459</v>
      </c>
      <c r="Y631" s="4">
        <v>362</v>
      </c>
      <c r="Z631" s="4">
        <v>337</v>
      </c>
      <c r="AA631" s="4">
        <v>442</v>
      </c>
      <c r="AB631" s="4">
        <v>4</v>
      </c>
      <c r="AC631" s="4">
        <v>5</v>
      </c>
      <c r="AD631" s="4">
        <v>22</v>
      </c>
      <c r="AE631" s="4">
        <v>30</v>
      </c>
      <c r="AF631" s="4">
        <v>6</v>
      </c>
      <c r="AG631" s="4">
        <v>9</v>
      </c>
      <c r="AH631" s="4">
        <v>2</v>
      </c>
      <c r="AI631" s="4">
        <v>5</v>
      </c>
      <c r="AJ631" s="4">
        <v>16</v>
      </c>
      <c r="AK631" s="4">
        <v>17</v>
      </c>
      <c r="AL631" s="4">
        <v>3</v>
      </c>
      <c r="AM631" s="4">
        <v>3</v>
      </c>
      <c r="AN631" s="4">
        <v>0</v>
      </c>
      <c r="AO631" s="4">
        <v>3</v>
      </c>
      <c r="AP631" s="3" t="s">
        <v>59</v>
      </c>
      <c r="AQ631" s="3" t="s">
        <v>61</v>
      </c>
      <c r="AR631" s="6" t="str">
        <f>HYPERLINK("http://catalog.hathitrust.org/Record/011389416","HathiTrust Record")</f>
        <v>HathiTrust Record</v>
      </c>
      <c r="AS631" s="6" t="str">
        <f>HYPERLINK("https://creighton-primo.hosted.exlibrisgroup.com/primo-explore/search?tab=default_tab&amp;search_scope=EVERYTHING&amp;vid=01CRU&amp;lang=en_US&amp;offset=0&amp;query=any,contains,991003642489702656","Catalog Record")</f>
        <v>Catalog Record</v>
      </c>
      <c r="AT631" s="6" t="str">
        <f>HYPERLINK("http://www.worldcat.org/oclc/1240727","WorldCat Record")</f>
        <v>WorldCat Record</v>
      </c>
      <c r="AU631" s="3" t="s">
        <v>7460</v>
      </c>
      <c r="AV631" s="3" t="s">
        <v>7461</v>
      </c>
      <c r="AW631" s="3" t="s">
        <v>7462</v>
      </c>
      <c r="AX631" s="3" t="s">
        <v>7462</v>
      </c>
      <c r="AY631" s="3" t="s">
        <v>7463</v>
      </c>
      <c r="AZ631" s="3" t="s">
        <v>75</v>
      </c>
      <c r="BC631" s="3" t="s">
        <v>7464</v>
      </c>
      <c r="BD631" s="3" t="s">
        <v>7465</v>
      </c>
    </row>
    <row r="632" spans="1:56" ht="44.25" customHeight="1" x14ac:dyDescent="0.25">
      <c r="A632" s="7" t="s">
        <v>61</v>
      </c>
      <c r="B632" s="2" t="s">
        <v>7466</v>
      </c>
      <c r="C632" s="2" t="s">
        <v>7467</v>
      </c>
      <c r="D632" s="2" t="s">
        <v>7468</v>
      </c>
      <c r="F632" s="3" t="s">
        <v>61</v>
      </c>
      <c r="G632" s="3" t="s">
        <v>60</v>
      </c>
      <c r="H632" s="3" t="s">
        <v>61</v>
      </c>
      <c r="I632" s="3" t="s">
        <v>61</v>
      </c>
      <c r="J632" s="3" t="s">
        <v>62</v>
      </c>
      <c r="K632" s="2" t="s">
        <v>7469</v>
      </c>
      <c r="L632" s="2" t="s">
        <v>7470</v>
      </c>
      <c r="M632" s="3" t="s">
        <v>2391</v>
      </c>
      <c r="N632" s="2" t="s">
        <v>634</v>
      </c>
      <c r="O632" s="3" t="s">
        <v>114</v>
      </c>
      <c r="P632" s="3" t="s">
        <v>437</v>
      </c>
      <c r="R632" s="3" t="s">
        <v>68</v>
      </c>
      <c r="S632" s="4">
        <v>4</v>
      </c>
      <c r="T632" s="4">
        <v>4</v>
      </c>
      <c r="U632" s="5" t="s">
        <v>7471</v>
      </c>
      <c r="V632" s="5" t="s">
        <v>7471</v>
      </c>
      <c r="W632" s="5" t="s">
        <v>7472</v>
      </c>
      <c r="X632" s="5" t="s">
        <v>7472</v>
      </c>
      <c r="Y632" s="4">
        <v>445</v>
      </c>
      <c r="Z632" s="4">
        <v>424</v>
      </c>
      <c r="AA632" s="4">
        <v>459</v>
      </c>
      <c r="AB632" s="4">
        <v>3</v>
      </c>
      <c r="AC632" s="4">
        <v>3</v>
      </c>
      <c r="AD632" s="4">
        <v>7</v>
      </c>
      <c r="AE632" s="4">
        <v>7</v>
      </c>
      <c r="AF632" s="4">
        <v>2</v>
      </c>
      <c r="AG632" s="4">
        <v>2</v>
      </c>
      <c r="AH632" s="4">
        <v>3</v>
      </c>
      <c r="AI632" s="4">
        <v>3</v>
      </c>
      <c r="AJ632" s="4">
        <v>4</v>
      </c>
      <c r="AK632" s="4">
        <v>4</v>
      </c>
      <c r="AL632" s="4">
        <v>1</v>
      </c>
      <c r="AM632" s="4">
        <v>1</v>
      </c>
      <c r="AN632" s="4">
        <v>0</v>
      </c>
      <c r="AO632" s="4">
        <v>0</v>
      </c>
      <c r="AP632" s="3" t="s">
        <v>61</v>
      </c>
      <c r="AQ632" s="3" t="s">
        <v>59</v>
      </c>
      <c r="AR632" s="6" t="str">
        <f>HYPERLINK("http://catalog.hathitrust.org/Record/004206713","HathiTrust Record")</f>
        <v>HathiTrust Record</v>
      </c>
      <c r="AS632" s="6" t="str">
        <f>HYPERLINK("https://creighton-primo.hosted.exlibrisgroup.com/primo-explore/search?tab=default_tab&amp;search_scope=EVERYTHING&amp;vid=01CRU&amp;lang=en_US&amp;offset=0&amp;query=any,contains,991003628559702656","Catalog Record")</f>
        <v>Catalog Record</v>
      </c>
      <c r="AT632" s="6" t="str">
        <f>HYPERLINK("http://www.worldcat.org/oclc/47054798","WorldCat Record")</f>
        <v>WorldCat Record</v>
      </c>
      <c r="AU632" s="3" t="s">
        <v>7473</v>
      </c>
      <c r="AV632" s="3" t="s">
        <v>7474</v>
      </c>
      <c r="AW632" s="3" t="s">
        <v>7475</v>
      </c>
      <c r="AX632" s="3" t="s">
        <v>7475</v>
      </c>
      <c r="AY632" s="3" t="s">
        <v>7476</v>
      </c>
      <c r="AZ632" s="3" t="s">
        <v>75</v>
      </c>
      <c r="BB632" s="3" t="s">
        <v>7477</v>
      </c>
      <c r="BC632" s="3" t="s">
        <v>7478</v>
      </c>
      <c r="BD632" s="3" t="s">
        <v>7479</v>
      </c>
    </row>
    <row r="633" spans="1:56" ht="44.25" customHeight="1" x14ac:dyDescent="0.25">
      <c r="A633" s="7" t="s">
        <v>61</v>
      </c>
      <c r="B633" s="2" t="s">
        <v>7480</v>
      </c>
      <c r="C633" s="2" t="s">
        <v>7481</v>
      </c>
      <c r="D633" s="2" t="s">
        <v>7482</v>
      </c>
      <c r="F633" s="3" t="s">
        <v>61</v>
      </c>
      <c r="G633" s="3" t="s">
        <v>60</v>
      </c>
      <c r="H633" s="3" t="s">
        <v>61</v>
      </c>
      <c r="I633" s="3" t="s">
        <v>61</v>
      </c>
      <c r="J633" s="3" t="s">
        <v>62</v>
      </c>
      <c r="K633" s="2" t="s">
        <v>7483</v>
      </c>
      <c r="L633" s="2" t="s">
        <v>7484</v>
      </c>
      <c r="M633" s="3" t="s">
        <v>495</v>
      </c>
      <c r="O633" s="3" t="s">
        <v>114</v>
      </c>
      <c r="P633" s="3" t="s">
        <v>192</v>
      </c>
      <c r="R633" s="3" t="s">
        <v>68</v>
      </c>
      <c r="S633" s="4">
        <v>4</v>
      </c>
      <c r="T633" s="4">
        <v>4</v>
      </c>
      <c r="U633" s="5" t="s">
        <v>7485</v>
      </c>
      <c r="V633" s="5" t="s">
        <v>7485</v>
      </c>
      <c r="W633" s="5" t="s">
        <v>7486</v>
      </c>
      <c r="X633" s="5" t="s">
        <v>7486</v>
      </c>
      <c r="Y633" s="4">
        <v>240</v>
      </c>
      <c r="Z633" s="4">
        <v>173</v>
      </c>
      <c r="AA633" s="4">
        <v>173</v>
      </c>
      <c r="AB633" s="4">
        <v>2</v>
      </c>
      <c r="AC633" s="4">
        <v>2</v>
      </c>
      <c r="AD633" s="4">
        <v>4</v>
      </c>
      <c r="AE633" s="4">
        <v>4</v>
      </c>
      <c r="AF633" s="4">
        <v>0</v>
      </c>
      <c r="AG633" s="4">
        <v>0</v>
      </c>
      <c r="AH633" s="4">
        <v>2</v>
      </c>
      <c r="AI633" s="4">
        <v>2</v>
      </c>
      <c r="AJ633" s="4">
        <v>3</v>
      </c>
      <c r="AK633" s="4">
        <v>3</v>
      </c>
      <c r="AL633" s="4">
        <v>1</v>
      </c>
      <c r="AM633" s="4">
        <v>1</v>
      </c>
      <c r="AN633" s="4">
        <v>0</v>
      </c>
      <c r="AO633" s="4">
        <v>0</v>
      </c>
      <c r="AP633" s="3" t="s">
        <v>61</v>
      </c>
      <c r="AQ633" s="3" t="s">
        <v>61</v>
      </c>
      <c r="AS633" s="6" t="str">
        <f>HYPERLINK("https://creighton-primo.hosted.exlibrisgroup.com/primo-explore/search?tab=default_tab&amp;search_scope=EVERYTHING&amp;vid=01CRU&amp;lang=en_US&amp;offset=0&amp;query=any,contains,991002720289702656","Catalog Record")</f>
        <v>Catalog Record</v>
      </c>
      <c r="AT633" s="6" t="str">
        <f>HYPERLINK("http://www.worldcat.org/oclc/35666139","WorldCat Record")</f>
        <v>WorldCat Record</v>
      </c>
      <c r="AU633" s="3" t="s">
        <v>7487</v>
      </c>
      <c r="AV633" s="3" t="s">
        <v>7488</v>
      </c>
      <c r="AW633" s="3" t="s">
        <v>7489</v>
      </c>
      <c r="AX633" s="3" t="s">
        <v>7489</v>
      </c>
      <c r="AY633" s="3" t="s">
        <v>7490</v>
      </c>
      <c r="AZ633" s="3" t="s">
        <v>75</v>
      </c>
      <c r="BB633" s="3" t="s">
        <v>7491</v>
      </c>
      <c r="BC633" s="3" t="s">
        <v>7492</v>
      </c>
      <c r="BD633" s="3" t="s">
        <v>7493</v>
      </c>
    </row>
    <row r="634" spans="1:56" ht="44.25" customHeight="1" x14ac:dyDescent="0.25">
      <c r="A634" s="7" t="s">
        <v>61</v>
      </c>
      <c r="B634" s="2" t="s">
        <v>7494</v>
      </c>
      <c r="C634" s="2" t="s">
        <v>7495</v>
      </c>
      <c r="D634" s="2" t="s">
        <v>7496</v>
      </c>
      <c r="E634" s="3" t="s">
        <v>7497</v>
      </c>
      <c r="F634" s="3" t="s">
        <v>59</v>
      </c>
      <c r="G634" s="3" t="s">
        <v>60</v>
      </c>
      <c r="H634" s="3" t="s">
        <v>61</v>
      </c>
      <c r="I634" s="3" t="s">
        <v>61</v>
      </c>
      <c r="J634" s="3" t="s">
        <v>62</v>
      </c>
      <c r="K634" s="2" t="s">
        <v>7498</v>
      </c>
      <c r="L634" s="2" t="s">
        <v>7499</v>
      </c>
      <c r="M634" s="3" t="s">
        <v>5326</v>
      </c>
      <c r="O634" s="3" t="s">
        <v>114</v>
      </c>
      <c r="P634" s="3" t="s">
        <v>67</v>
      </c>
      <c r="R634" s="3" t="s">
        <v>68</v>
      </c>
      <c r="S634" s="4">
        <v>0</v>
      </c>
      <c r="T634" s="4">
        <v>8</v>
      </c>
      <c r="V634" s="5" t="s">
        <v>7500</v>
      </c>
      <c r="W634" s="5" t="s">
        <v>1638</v>
      </c>
      <c r="X634" s="5" t="s">
        <v>1638</v>
      </c>
      <c r="Y634" s="4">
        <v>141</v>
      </c>
      <c r="Z634" s="4">
        <v>140</v>
      </c>
      <c r="AA634" s="4">
        <v>146</v>
      </c>
      <c r="AB634" s="4">
        <v>2</v>
      </c>
      <c r="AC634" s="4">
        <v>2</v>
      </c>
      <c r="AD634" s="4">
        <v>11</v>
      </c>
      <c r="AE634" s="4">
        <v>11</v>
      </c>
      <c r="AF634" s="4">
        <v>6</v>
      </c>
      <c r="AG634" s="4">
        <v>6</v>
      </c>
      <c r="AH634" s="4">
        <v>2</v>
      </c>
      <c r="AI634" s="4">
        <v>2</v>
      </c>
      <c r="AJ634" s="4">
        <v>5</v>
      </c>
      <c r="AK634" s="4">
        <v>5</v>
      </c>
      <c r="AL634" s="4">
        <v>1</v>
      </c>
      <c r="AM634" s="4">
        <v>1</v>
      </c>
      <c r="AN634" s="4">
        <v>0</v>
      </c>
      <c r="AO634" s="4">
        <v>0</v>
      </c>
      <c r="AP634" s="3" t="s">
        <v>61</v>
      </c>
      <c r="AQ634" s="3" t="s">
        <v>59</v>
      </c>
      <c r="AR634" s="6" t="str">
        <f t="shared" ref="AR634:AR687" si="12">HYPERLINK("http://catalog.hathitrust.org/Record/006071555","HathiTrust Record")</f>
        <v>HathiTrust Record</v>
      </c>
      <c r="AS634" s="6" t="str">
        <f t="shared" ref="AS634:AS687" si="13">HYPERLINK("https://creighton-primo.hosted.exlibrisgroup.com/primo-explore/search?tab=default_tab&amp;search_scope=EVERYTHING&amp;vid=01CRU&amp;lang=en_US&amp;offset=0&amp;query=any,contains,991004183079702656","Catalog Record")</f>
        <v>Catalog Record</v>
      </c>
      <c r="AT634" s="6" t="str">
        <f t="shared" ref="AT634:AT687" si="14">HYPERLINK("http://www.worldcat.org/oclc/2610500","WorldCat Record")</f>
        <v>WorldCat Record</v>
      </c>
      <c r="AU634" s="3" t="s">
        <v>7501</v>
      </c>
      <c r="AV634" s="3" t="s">
        <v>7502</v>
      </c>
      <c r="AW634" s="3" t="s">
        <v>7503</v>
      </c>
      <c r="AX634" s="3" t="s">
        <v>7503</v>
      </c>
      <c r="AY634" s="3" t="s">
        <v>7504</v>
      </c>
      <c r="AZ634" s="3" t="s">
        <v>75</v>
      </c>
      <c r="BC634" s="3" t="s">
        <v>7505</v>
      </c>
      <c r="BD634" s="3" t="s">
        <v>7506</v>
      </c>
    </row>
    <row r="635" spans="1:56" ht="44.25" customHeight="1" x14ac:dyDescent="0.25">
      <c r="A635" s="7" t="s">
        <v>61</v>
      </c>
      <c r="B635" s="2" t="s">
        <v>7494</v>
      </c>
      <c r="C635" s="2" t="s">
        <v>7495</v>
      </c>
      <c r="D635" s="2" t="s">
        <v>7496</v>
      </c>
      <c r="E635" s="3" t="s">
        <v>7507</v>
      </c>
      <c r="F635" s="3" t="s">
        <v>59</v>
      </c>
      <c r="G635" s="3" t="s">
        <v>60</v>
      </c>
      <c r="H635" s="3" t="s">
        <v>61</v>
      </c>
      <c r="I635" s="3" t="s">
        <v>61</v>
      </c>
      <c r="J635" s="3" t="s">
        <v>62</v>
      </c>
      <c r="K635" s="2" t="s">
        <v>7498</v>
      </c>
      <c r="L635" s="2" t="s">
        <v>7499</v>
      </c>
      <c r="M635" s="3" t="s">
        <v>5326</v>
      </c>
      <c r="O635" s="3" t="s">
        <v>114</v>
      </c>
      <c r="P635" s="3" t="s">
        <v>67</v>
      </c>
      <c r="R635" s="3" t="s">
        <v>68</v>
      </c>
      <c r="S635" s="4">
        <v>0</v>
      </c>
      <c r="T635" s="4">
        <v>8</v>
      </c>
      <c r="V635" s="5" t="s">
        <v>7500</v>
      </c>
      <c r="W635" s="5" t="s">
        <v>1638</v>
      </c>
      <c r="X635" s="5" t="s">
        <v>1638</v>
      </c>
      <c r="Y635" s="4">
        <v>141</v>
      </c>
      <c r="Z635" s="4">
        <v>140</v>
      </c>
      <c r="AA635" s="4">
        <v>146</v>
      </c>
      <c r="AB635" s="4">
        <v>2</v>
      </c>
      <c r="AC635" s="4">
        <v>2</v>
      </c>
      <c r="AD635" s="4">
        <v>11</v>
      </c>
      <c r="AE635" s="4">
        <v>11</v>
      </c>
      <c r="AF635" s="4">
        <v>6</v>
      </c>
      <c r="AG635" s="4">
        <v>6</v>
      </c>
      <c r="AH635" s="4">
        <v>2</v>
      </c>
      <c r="AI635" s="4">
        <v>2</v>
      </c>
      <c r="AJ635" s="4">
        <v>5</v>
      </c>
      <c r="AK635" s="4">
        <v>5</v>
      </c>
      <c r="AL635" s="4">
        <v>1</v>
      </c>
      <c r="AM635" s="4">
        <v>1</v>
      </c>
      <c r="AN635" s="4">
        <v>0</v>
      </c>
      <c r="AO635" s="4">
        <v>0</v>
      </c>
      <c r="AP635" s="3" t="s">
        <v>61</v>
      </c>
      <c r="AQ635" s="3" t="s">
        <v>59</v>
      </c>
      <c r="AR635" s="6" t="str">
        <f t="shared" si="12"/>
        <v>HathiTrust Record</v>
      </c>
      <c r="AS635" s="6" t="str">
        <f t="shared" si="13"/>
        <v>Catalog Record</v>
      </c>
      <c r="AT635" s="6" t="str">
        <f t="shared" si="14"/>
        <v>WorldCat Record</v>
      </c>
      <c r="AU635" s="3" t="s">
        <v>7501</v>
      </c>
      <c r="AV635" s="3" t="s">
        <v>7502</v>
      </c>
      <c r="AW635" s="3" t="s">
        <v>7503</v>
      </c>
      <c r="AX635" s="3" t="s">
        <v>7503</v>
      </c>
      <c r="AY635" s="3" t="s">
        <v>7504</v>
      </c>
      <c r="AZ635" s="3" t="s">
        <v>75</v>
      </c>
      <c r="BC635" s="3" t="s">
        <v>7508</v>
      </c>
      <c r="BD635" s="3" t="s">
        <v>7509</v>
      </c>
    </row>
    <row r="636" spans="1:56" ht="44.25" customHeight="1" x14ac:dyDescent="0.25">
      <c r="A636" s="7" t="s">
        <v>61</v>
      </c>
      <c r="B636" s="2" t="s">
        <v>7494</v>
      </c>
      <c r="C636" s="2" t="s">
        <v>7495</v>
      </c>
      <c r="D636" s="2" t="s">
        <v>7496</v>
      </c>
      <c r="E636" s="3" t="s">
        <v>7510</v>
      </c>
      <c r="F636" s="3" t="s">
        <v>59</v>
      </c>
      <c r="G636" s="3" t="s">
        <v>60</v>
      </c>
      <c r="H636" s="3" t="s">
        <v>61</v>
      </c>
      <c r="I636" s="3" t="s">
        <v>61</v>
      </c>
      <c r="J636" s="3" t="s">
        <v>62</v>
      </c>
      <c r="K636" s="2" t="s">
        <v>7498</v>
      </c>
      <c r="L636" s="2" t="s">
        <v>7499</v>
      </c>
      <c r="M636" s="3" t="s">
        <v>5326</v>
      </c>
      <c r="O636" s="3" t="s">
        <v>114</v>
      </c>
      <c r="P636" s="3" t="s">
        <v>67</v>
      </c>
      <c r="R636" s="3" t="s">
        <v>68</v>
      </c>
      <c r="S636" s="4">
        <v>0</v>
      </c>
      <c r="T636" s="4">
        <v>8</v>
      </c>
      <c r="V636" s="5" t="s">
        <v>7500</v>
      </c>
      <c r="W636" s="5" t="s">
        <v>1638</v>
      </c>
      <c r="X636" s="5" t="s">
        <v>1638</v>
      </c>
      <c r="Y636" s="4">
        <v>141</v>
      </c>
      <c r="Z636" s="4">
        <v>140</v>
      </c>
      <c r="AA636" s="4">
        <v>146</v>
      </c>
      <c r="AB636" s="4">
        <v>2</v>
      </c>
      <c r="AC636" s="4">
        <v>2</v>
      </c>
      <c r="AD636" s="4">
        <v>11</v>
      </c>
      <c r="AE636" s="4">
        <v>11</v>
      </c>
      <c r="AF636" s="4">
        <v>6</v>
      </c>
      <c r="AG636" s="4">
        <v>6</v>
      </c>
      <c r="AH636" s="4">
        <v>2</v>
      </c>
      <c r="AI636" s="4">
        <v>2</v>
      </c>
      <c r="AJ636" s="4">
        <v>5</v>
      </c>
      <c r="AK636" s="4">
        <v>5</v>
      </c>
      <c r="AL636" s="4">
        <v>1</v>
      </c>
      <c r="AM636" s="4">
        <v>1</v>
      </c>
      <c r="AN636" s="4">
        <v>0</v>
      </c>
      <c r="AO636" s="4">
        <v>0</v>
      </c>
      <c r="AP636" s="3" t="s">
        <v>61</v>
      </c>
      <c r="AQ636" s="3" t="s">
        <v>59</v>
      </c>
      <c r="AR636" s="6" t="str">
        <f t="shared" si="12"/>
        <v>HathiTrust Record</v>
      </c>
      <c r="AS636" s="6" t="str">
        <f t="shared" si="13"/>
        <v>Catalog Record</v>
      </c>
      <c r="AT636" s="6" t="str">
        <f t="shared" si="14"/>
        <v>WorldCat Record</v>
      </c>
      <c r="AU636" s="3" t="s">
        <v>7501</v>
      </c>
      <c r="AV636" s="3" t="s">
        <v>7502</v>
      </c>
      <c r="AW636" s="3" t="s">
        <v>7503</v>
      </c>
      <c r="AX636" s="3" t="s">
        <v>7503</v>
      </c>
      <c r="AY636" s="3" t="s">
        <v>7504</v>
      </c>
      <c r="AZ636" s="3" t="s">
        <v>75</v>
      </c>
      <c r="BC636" s="3" t="s">
        <v>7511</v>
      </c>
      <c r="BD636" s="3" t="s">
        <v>7512</v>
      </c>
    </row>
    <row r="637" spans="1:56" ht="44.25" customHeight="1" x14ac:dyDescent="0.25">
      <c r="A637" s="7" t="s">
        <v>61</v>
      </c>
      <c r="B637" s="2" t="s">
        <v>7494</v>
      </c>
      <c r="C637" s="2" t="s">
        <v>7495</v>
      </c>
      <c r="D637" s="2" t="s">
        <v>7496</v>
      </c>
      <c r="E637" s="3" t="s">
        <v>7513</v>
      </c>
      <c r="F637" s="3" t="s">
        <v>59</v>
      </c>
      <c r="G637" s="3" t="s">
        <v>60</v>
      </c>
      <c r="H637" s="3" t="s">
        <v>61</v>
      </c>
      <c r="I637" s="3" t="s">
        <v>61</v>
      </c>
      <c r="J637" s="3" t="s">
        <v>62</v>
      </c>
      <c r="K637" s="2" t="s">
        <v>7498</v>
      </c>
      <c r="L637" s="2" t="s">
        <v>7499</v>
      </c>
      <c r="M637" s="3" t="s">
        <v>5326</v>
      </c>
      <c r="O637" s="3" t="s">
        <v>114</v>
      </c>
      <c r="P637" s="3" t="s">
        <v>67</v>
      </c>
      <c r="R637" s="3" t="s">
        <v>68</v>
      </c>
      <c r="S637" s="4">
        <v>0</v>
      </c>
      <c r="T637" s="4">
        <v>8</v>
      </c>
      <c r="V637" s="5" t="s">
        <v>7500</v>
      </c>
      <c r="W637" s="5" t="s">
        <v>1638</v>
      </c>
      <c r="X637" s="5" t="s">
        <v>1638</v>
      </c>
      <c r="Y637" s="4">
        <v>141</v>
      </c>
      <c r="Z637" s="4">
        <v>140</v>
      </c>
      <c r="AA637" s="4">
        <v>146</v>
      </c>
      <c r="AB637" s="4">
        <v>2</v>
      </c>
      <c r="AC637" s="4">
        <v>2</v>
      </c>
      <c r="AD637" s="4">
        <v>11</v>
      </c>
      <c r="AE637" s="4">
        <v>11</v>
      </c>
      <c r="AF637" s="4">
        <v>6</v>
      </c>
      <c r="AG637" s="4">
        <v>6</v>
      </c>
      <c r="AH637" s="4">
        <v>2</v>
      </c>
      <c r="AI637" s="4">
        <v>2</v>
      </c>
      <c r="AJ637" s="4">
        <v>5</v>
      </c>
      <c r="AK637" s="4">
        <v>5</v>
      </c>
      <c r="AL637" s="4">
        <v>1</v>
      </c>
      <c r="AM637" s="4">
        <v>1</v>
      </c>
      <c r="AN637" s="4">
        <v>0</v>
      </c>
      <c r="AO637" s="4">
        <v>0</v>
      </c>
      <c r="AP637" s="3" t="s">
        <v>61</v>
      </c>
      <c r="AQ637" s="3" t="s">
        <v>59</v>
      </c>
      <c r="AR637" s="6" t="str">
        <f t="shared" si="12"/>
        <v>HathiTrust Record</v>
      </c>
      <c r="AS637" s="6" t="str">
        <f t="shared" si="13"/>
        <v>Catalog Record</v>
      </c>
      <c r="AT637" s="6" t="str">
        <f t="shared" si="14"/>
        <v>WorldCat Record</v>
      </c>
      <c r="AU637" s="3" t="s">
        <v>7501</v>
      </c>
      <c r="AV637" s="3" t="s">
        <v>7502</v>
      </c>
      <c r="AW637" s="3" t="s">
        <v>7503</v>
      </c>
      <c r="AX637" s="3" t="s">
        <v>7503</v>
      </c>
      <c r="AY637" s="3" t="s">
        <v>7504</v>
      </c>
      <c r="AZ637" s="3" t="s">
        <v>75</v>
      </c>
      <c r="BC637" s="3" t="s">
        <v>7514</v>
      </c>
      <c r="BD637" s="3" t="s">
        <v>7515</v>
      </c>
    </row>
    <row r="638" spans="1:56" ht="44.25" customHeight="1" x14ac:dyDescent="0.25">
      <c r="A638" s="7" t="s">
        <v>61</v>
      </c>
      <c r="B638" s="2" t="s">
        <v>7494</v>
      </c>
      <c r="C638" s="2" t="s">
        <v>7495</v>
      </c>
      <c r="D638" s="2" t="s">
        <v>7496</v>
      </c>
      <c r="E638" s="3" t="s">
        <v>7516</v>
      </c>
      <c r="F638" s="3" t="s">
        <v>59</v>
      </c>
      <c r="G638" s="3" t="s">
        <v>60</v>
      </c>
      <c r="H638" s="3" t="s">
        <v>61</v>
      </c>
      <c r="I638" s="3" t="s">
        <v>61</v>
      </c>
      <c r="J638" s="3" t="s">
        <v>62</v>
      </c>
      <c r="K638" s="2" t="s">
        <v>7498</v>
      </c>
      <c r="L638" s="2" t="s">
        <v>7499</v>
      </c>
      <c r="M638" s="3" t="s">
        <v>5326</v>
      </c>
      <c r="O638" s="3" t="s">
        <v>114</v>
      </c>
      <c r="P638" s="3" t="s">
        <v>67</v>
      </c>
      <c r="R638" s="3" t="s">
        <v>68</v>
      </c>
      <c r="S638" s="4">
        <v>0</v>
      </c>
      <c r="T638" s="4">
        <v>8</v>
      </c>
      <c r="V638" s="5" t="s">
        <v>7500</v>
      </c>
      <c r="W638" s="5" t="s">
        <v>1638</v>
      </c>
      <c r="X638" s="5" t="s">
        <v>1638</v>
      </c>
      <c r="Y638" s="4">
        <v>141</v>
      </c>
      <c r="Z638" s="4">
        <v>140</v>
      </c>
      <c r="AA638" s="4">
        <v>146</v>
      </c>
      <c r="AB638" s="4">
        <v>2</v>
      </c>
      <c r="AC638" s="4">
        <v>2</v>
      </c>
      <c r="AD638" s="4">
        <v>11</v>
      </c>
      <c r="AE638" s="4">
        <v>11</v>
      </c>
      <c r="AF638" s="4">
        <v>6</v>
      </c>
      <c r="AG638" s="4">
        <v>6</v>
      </c>
      <c r="AH638" s="4">
        <v>2</v>
      </c>
      <c r="AI638" s="4">
        <v>2</v>
      </c>
      <c r="AJ638" s="4">
        <v>5</v>
      </c>
      <c r="AK638" s="4">
        <v>5</v>
      </c>
      <c r="AL638" s="4">
        <v>1</v>
      </c>
      <c r="AM638" s="4">
        <v>1</v>
      </c>
      <c r="AN638" s="4">
        <v>0</v>
      </c>
      <c r="AO638" s="4">
        <v>0</v>
      </c>
      <c r="AP638" s="3" t="s">
        <v>61</v>
      </c>
      <c r="AQ638" s="3" t="s">
        <v>59</v>
      </c>
      <c r="AR638" s="6" t="str">
        <f t="shared" si="12"/>
        <v>HathiTrust Record</v>
      </c>
      <c r="AS638" s="6" t="str">
        <f t="shared" si="13"/>
        <v>Catalog Record</v>
      </c>
      <c r="AT638" s="6" t="str">
        <f t="shared" si="14"/>
        <v>WorldCat Record</v>
      </c>
      <c r="AU638" s="3" t="s">
        <v>7501</v>
      </c>
      <c r="AV638" s="3" t="s">
        <v>7502</v>
      </c>
      <c r="AW638" s="3" t="s">
        <v>7503</v>
      </c>
      <c r="AX638" s="3" t="s">
        <v>7503</v>
      </c>
      <c r="AY638" s="3" t="s">
        <v>7504</v>
      </c>
      <c r="AZ638" s="3" t="s">
        <v>75</v>
      </c>
      <c r="BC638" s="3" t="s">
        <v>7517</v>
      </c>
      <c r="BD638" s="3" t="s">
        <v>7518</v>
      </c>
    </row>
    <row r="639" spans="1:56" ht="44.25" customHeight="1" x14ac:dyDescent="0.25">
      <c r="A639" s="7" t="s">
        <v>61</v>
      </c>
      <c r="B639" s="2" t="s">
        <v>7494</v>
      </c>
      <c r="C639" s="2" t="s">
        <v>7495</v>
      </c>
      <c r="D639" s="2" t="s">
        <v>7496</v>
      </c>
      <c r="E639" s="3" t="s">
        <v>7519</v>
      </c>
      <c r="F639" s="3" t="s">
        <v>59</v>
      </c>
      <c r="G639" s="3" t="s">
        <v>60</v>
      </c>
      <c r="H639" s="3" t="s">
        <v>61</v>
      </c>
      <c r="I639" s="3" t="s">
        <v>61</v>
      </c>
      <c r="J639" s="3" t="s">
        <v>62</v>
      </c>
      <c r="K639" s="2" t="s">
        <v>7498</v>
      </c>
      <c r="L639" s="2" t="s">
        <v>7499</v>
      </c>
      <c r="M639" s="3" t="s">
        <v>5326</v>
      </c>
      <c r="O639" s="3" t="s">
        <v>114</v>
      </c>
      <c r="P639" s="3" t="s">
        <v>67</v>
      </c>
      <c r="R639" s="3" t="s">
        <v>68</v>
      </c>
      <c r="S639" s="4">
        <v>0</v>
      </c>
      <c r="T639" s="4">
        <v>8</v>
      </c>
      <c r="V639" s="5" t="s">
        <v>7500</v>
      </c>
      <c r="W639" s="5" t="s">
        <v>1638</v>
      </c>
      <c r="X639" s="5" t="s">
        <v>1638</v>
      </c>
      <c r="Y639" s="4">
        <v>141</v>
      </c>
      <c r="Z639" s="4">
        <v>140</v>
      </c>
      <c r="AA639" s="4">
        <v>146</v>
      </c>
      <c r="AB639" s="4">
        <v>2</v>
      </c>
      <c r="AC639" s="4">
        <v>2</v>
      </c>
      <c r="AD639" s="4">
        <v>11</v>
      </c>
      <c r="AE639" s="4">
        <v>11</v>
      </c>
      <c r="AF639" s="4">
        <v>6</v>
      </c>
      <c r="AG639" s="4">
        <v>6</v>
      </c>
      <c r="AH639" s="4">
        <v>2</v>
      </c>
      <c r="AI639" s="4">
        <v>2</v>
      </c>
      <c r="AJ639" s="4">
        <v>5</v>
      </c>
      <c r="AK639" s="4">
        <v>5</v>
      </c>
      <c r="AL639" s="4">
        <v>1</v>
      </c>
      <c r="AM639" s="4">
        <v>1</v>
      </c>
      <c r="AN639" s="4">
        <v>0</v>
      </c>
      <c r="AO639" s="4">
        <v>0</v>
      </c>
      <c r="AP639" s="3" t="s">
        <v>61</v>
      </c>
      <c r="AQ639" s="3" t="s">
        <v>59</v>
      </c>
      <c r="AR639" s="6" t="str">
        <f t="shared" si="12"/>
        <v>HathiTrust Record</v>
      </c>
      <c r="AS639" s="6" t="str">
        <f t="shared" si="13"/>
        <v>Catalog Record</v>
      </c>
      <c r="AT639" s="6" t="str">
        <f t="shared" si="14"/>
        <v>WorldCat Record</v>
      </c>
      <c r="AU639" s="3" t="s">
        <v>7501</v>
      </c>
      <c r="AV639" s="3" t="s">
        <v>7502</v>
      </c>
      <c r="AW639" s="3" t="s">
        <v>7503</v>
      </c>
      <c r="AX639" s="3" t="s">
        <v>7503</v>
      </c>
      <c r="AY639" s="3" t="s">
        <v>7504</v>
      </c>
      <c r="AZ639" s="3" t="s">
        <v>75</v>
      </c>
      <c r="BC639" s="3" t="s">
        <v>7520</v>
      </c>
      <c r="BD639" s="3" t="s">
        <v>7521</v>
      </c>
    </row>
    <row r="640" spans="1:56" ht="44.25" customHeight="1" x14ac:dyDescent="0.25">
      <c r="A640" s="7" t="s">
        <v>61</v>
      </c>
      <c r="B640" s="2" t="s">
        <v>7494</v>
      </c>
      <c r="C640" s="2" t="s">
        <v>7495</v>
      </c>
      <c r="D640" s="2" t="s">
        <v>7496</v>
      </c>
      <c r="E640" s="3" t="s">
        <v>7522</v>
      </c>
      <c r="F640" s="3" t="s">
        <v>59</v>
      </c>
      <c r="G640" s="3" t="s">
        <v>60</v>
      </c>
      <c r="H640" s="3" t="s">
        <v>61</v>
      </c>
      <c r="I640" s="3" t="s">
        <v>61</v>
      </c>
      <c r="J640" s="3" t="s">
        <v>62</v>
      </c>
      <c r="K640" s="2" t="s">
        <v>7498</v>
      </c>
      <c r="L640" s="2" t="s">
        <v>7499</v>
      </c>
      <c r="M640" s="3" t="s">
        <v>5326</v>
      </c>
      <c r="O640" s="3" t="s">
        <v>114</v>
      </c>
      <c r="P640" s="3" t="s">
        <v>67</v>
      </c>
      <c r="R640" s="3" t="s">
        <v>68</v>
      </c>
      <c r="S640" s="4">
        <v>0</v>
      </c>
      <c r="T640" s="4">
        <v>8</v>
      </c>
      <c r="V640" s="5" t="s">
        <v>7500</v>
      </c>
      <c r="W640" s="5" t="s">
        <v>1638</v>
      </c>
      <c r="X640" s="5" t="s">
        <v>1638</v>
      </c>
      <c r="Y640" s="4">
        <v>141</v>
      </c>
      <c r="Z640" s="4">
        <v>140</v>
      </c>
      <c r="AA640" s="4">
        <v>146</v>
      </c>
      <c r="AB640" s="4">
        <v>2</v>
      </c>
      <c r="AC640" s="4">
        <v>2</v>
      </c>
      <c r="AD640" s="4">
        <v>11</v>
      </c>
      <c r="AE640" s="4">
        <v>11</v>
      </c>
      <c r="AF640" s="4">
        <v>6</v>
      </c>
      <c r="AG640" s="4">
        <v>6</v>
      </c>
      <c r="AH640" s="4">
        <v>2</v>
      </c>
      <c r="AI640" s="4">
        <v>2</v>
      </c>
      <c r="AJ640" s="4">
        <v>5</v>
      </c>
      <c r="AK640" s="4">
        <v>5</v>
      </c>
      <c r="AL640" s="4">
        <v>1</v>
      </c>
      <c r="AM640" s="4">
        <v>1</v>
      </c>
      <c r="AN640" s="4">
        <v>0</v>
      </c>
      <c r="AO640" s="4">
        <v>0</v>
      </c>
      <c r="AP640" s="3" t="s">
        <v>61</v>
      </c>
      <c r="AQ640" s="3" t="s">
        <v>59</v>
      </c>
      <c r="AR640" s="6" t="str">
        <f t="shared" si="12"/>
        <v>HathiTrust Record</v>
      </c>
      <c r="AS640" s="6" t="str">
        <f t="shared" si="13"/>
        <v>Catalog Record</v>
      </c>
      <c r="AT640" s="6" t="str">
        <f t="shared" si="14"/>
        <v>WorldCat Record</v>
      </c>
      <c r="AU640" s="3" t="s">
        <v>7501</v>
      </c>
      <c r="AV640" s="3" t="s">
        <v>7502</v>
      </c>
      <c r="AW640" s="3" t="s">
        <v>7503</v>
      </c>
      <c r="AX640" s="3" t="s">
        <v>7503</v>
      </c>
      <c r="AY640" s="3" t="s">
        <v>7504</v>
      </c>
      <c r="AZ640" s="3" t="s">
        <v>75</v>
      </c>
      <c r="BC640" s="3" t="s">
        <v>7523</v>
      </c>
      <c r="BD640" s="3" t="s">
        <v>7524</v>
      </c>
    </row>
    <row r="641" spans="1:56" ht="44.25" customHeight="1" x14ac:dyDescent="0.25">
      <c r="A641" s="7" t="s">
        <v>61</v>
      </c>
      <c r="B641" s="2" t="s">
        <v>7494</v>
      </c>
      <c r="C641" s="2" t="s">
        <v>7495</v>
      </c>
      <c r="D641" s="2" t="s">
        <v>7496</v>
      </c>
      <c r="E641" s="3" t="s">
        <v>7525</v>
      </c>
      <c r="F641" s="3" t="s">
        <v>59</v>
      </c>
      <c r="G641" s="3" t="s">
        <v>60</v>
      </c>
      <c r="H641" s="3" t="s">
        <v>61</v>
      </c>
      <c r="I641" s="3" t="s">
        <v>61</v>
      </c>
      <c r="J641" s="3" t="s">
        <v>62</v>
      </c>
      <c r="K641" s="2" t="s">
        <v>7498</v>
      </c>
      <c r="L641" s="2" t="s">
        <v>7499</v>
      </c>
      <c r="M641" s="3" t="s">
        <v>5326</v>
      </c>
      <c r="O641" s="3" t="s">
        <v>114</v>
      </c>
      <c r="P641" s="3" t="s">
        <v>67</v>
      </c>
      <c r="R641" s="3" t="s">
        <v>68</v>
      </c>
      <c r="S641" s="4">
        <v>0</v>
      </c>
      <c r="T641" s="4">
        <v>8</v>
      </c>
      <c r="V641" s="5" t="s">
        <v>7500</v>
      </c>
      <c r="W641" s="5" t="s">
        <v>1638</v>
      </c>
      <c r="X641" s="5" t="s">
        <v>1638</v>
      </c>
      <c r="Y641" s="4">
        <v>141</v>
      </c>
      <c r="Z641" s="4">
        <v>140</v>
      </c>
      <c r="AA641" s="4">
        <v>146</v>
      </c>
      <c r="AB641" s="4">
        <v>2</v>
      </c>
      <c r="AC641" s="4">
        <v>2</v>
      </c>
      <c r="AD641" s="4">
        <v>11</v>
      </c>
      <c r="AE641" s="4">
        <v>11</v>
      </c>
      <c r="AF641" s="4">
        <v>6</v>
      </c>
      <c r="AG641" s="4">
        <v>6</v>
      </c>
      <c r="AH641" s="4">
        <v>2</v>
      </c>
      <c r="AI641" s="4">
        <v>2</v>
      </c>
      <c r="AJ641" s="4">
        <v>5</v>
      </c>
      <c r="AK641" s="4">
        <v>5</v>
      </c>
      <c r="AL641" s="4">
        <v>1</v>
      </c>
      <c r="AM641" s="4">
        <v>1</v>
      </c>
      <c r="AN641" s="4">
        <v>0</v>
      </c>
      <c r="AO641" s="4">
        <v>0</v>
      </c>
      <c r="AP641" s="3" t="s">
        <v>61</v>
      </c>
      <c r="AQ641" s="3" t="s">
        <v>59</v>
      </c>
      <c r="AR641" s="6" t="str">
        <f t="shared" si="12"/>
        <v>HathiTrust Record</v>
      </c>
      <c r="AS641" s="6" t="str">
        <f t="shared" si="13"/>
        <v>Catalog Record</v>
      </c>
      <c r="AT641" s="6" t="str">
        <f t="shared" si="14"/>
        <v>WorldCat Record</v>
      </c>
      <c r="AU641" s="3" t="s">
        <v>7501</v>
      </c>
      <c r="AV641" s="3" t="s">
        <v>7502</v>
      </c>
      <c r="AW641" s="3" t="s">
        <v>7503</v>
      </c>
      <c r="AX641" s="3" t="s">
        <v>7503</v>
      </c>
      <c r="AY641" s="3" t="s">
        <v>7504</v>
      </c>
      <c r="AZ641" s="3" t="s">
        <v>75</v>
      </c>
      <c r="BC641" s="3" t="s">
        <v>7526</v>
      </c>
      <c r="BD641" s="3" t="s">
        <v>7527</v>
      </c>
    </row>
    <row r="642" spans="1:56" ht="44.25" customHeight="1" x14ac:dyDescent="0.25">
      <c r="A642" s="7" t="s">
        <v>61</v>
      </c>
      <c r="B642" s="2" t="s">
        <v>7494</v>
      </c>
      <c r="C642" s="2" t="s">
        <v>7495</v>
      </c>
      <c r="D642" s="2" t="s">
        <v>7496</v>
      </c>
      <c r="E642" s="3" t="s">
        <v>7528</v>
      </c>
      <c r="F642" s="3" t="s">
        <v>59</v>
      </c>
      <c r="G642" s="3" t="s">
        <v>60</v>
      </c>
      <c r="H642" s="3" t="s">
        <v>61</v>
      </c>
      <c r="I642" s="3" t="s">
        <v>61</v>
      </c>
      <c r="J642" s="3" t="s">
        <v>62</v>
      </c>
      <c r="K642" s="2" t="s">
        <v>7498</v>
      </c>
      <c r="L642" s="2" t="s">
        <v>7499</v>
      </c>
      <c r="M642" s="3" t="s">
        <v>5326</v>
      </c>
      <c r="O642" s="3" t="s">
        <v>114</v>
      </c>
      <c r="P642" s="3" t="s">
        <v>67</v>
      </c>
      <c r="R642" s="3" t="s">
        <v>68</v>
      </c>
      <c r="S642" s="4">
        <v>0</v>
      </c>
      <c r="T642" s="4">
        <v>8</v>
      </c>
      <c r="V642" s="5" t="s">
        <v>7500</v>
      </c>
      <c r="W642" s="5" t="s">
        <v>1638</v>
      </c>
      <c r="X642" s="5" t="s">
        <v>1638</v>
      </c>
      <c r="Y642" s="4">
        <v>141</v>
      </c>
      <c r="Z642" s="4">
        <v>140</v>
      </c>
      <c r="AA642" s="4">
        <v>146</v>
      </c>
      <c r="AB642" s="4">
        <v>2</v>
      </c>
      <c r="AC642" s="4">
        <v>2</v>
      </c>
      <c r="AD642" s="4">
        <v>11</v>
      </c>
      <c r="AE642" s="4">
        <v>11</v>
      </c>
      <c r="AF642" s="4">
        <v>6</v>
      </c>
      <c r="AG642" s="4">
        <v>6</v>
      </c>
      <c r="AH642" s="4">
        <v>2</v>
      </c>
      <c r="AI642" s="4">
        <v>2</v>
      </c>
      <c r="AJ642" s="4">
        <v>5</v>
      </c>
      <c r="AK642" s="4">
        <v>5</v>
      </c>
      <c r="AL642" s="4">
        <v>1</v>
      </c>
      <c r="AM642" s="4">
        <v>1</v>
      </c>
      <c r="AN642" s="4">
        <v>0</v>
      </c>
      <c r="AO642" s="4">
        <v>0</v>
      </c>
      <c r="AP642" s="3" t="s">
        <v>61</v>
      </c>
      <c r="AQ642" s="3" t="s">
        <v>59</v>
      </c>
      <c r="AR642" s="6" t="str">
        <f t="shared" si="12"/>
        <v>HathiTrust Record</v>
      </c>
      <c r="AS642" s="6" t="str">
        <f t="shared" si="13"/>
        <v>Catalog Record</v>
      </c>
      <c r="AT642" s="6" t="str">
        <f t="shared" si="14"/>
        <v>WorldCat Record</v>
      </c>
      <c r="AU642" s="3" t="s">
        <v>7501</v>
      </c>
      <c r="AV642" s="3" t="s">
        <v>7502</v>
      </c>
      <c r="AW642" s="3" t="s">
        <v>7503</v>
      </c>
      <c r="AX642" s="3" t="s">
        <v>7503</v>
      </c>
      <c r="AY642" s="3" t="s">
        <v>7504</v>
      </c>
      <c r="AZ642" s="3" t="s">
        <v>75</v>
      </c>
      <c r="BC642" s="3" t="s">
        <v>7529</v>
      </c>
      <c r="BD642" s="3" t="s">
        <v>7530</v>
      </c>
    </row>
    <row r="643" spans="1:56" ht="44.25" customHeight="1" x14ac:dyDescent="0.25">
      <c r="A643" s="7" t="s">
        <v>61</v>
      </c>
      <c r="B643" s="2" t="s">
        <v>7494</v>
      </c>
      <c r="C643" s="2" t="s">
        <v>7495</v>
      </c>
      <c r="D643" s="2" t="s">
        <v>7496</v>
      </c>
      <c r="E643" s="3" t="s">
        <v>102</v>
      </c>
      <c r="F643" s="3" t="s">
        <v>59</v>
      </c>
      <c r="G643" s="3" t="s">
        <v>60</v>
      </c>
      <c r="H643" s="3" t="s">
        <v>61</v>
      </c>
      <c r="I643" s="3" t="s">
        <v>61</v>
      </c>
      <c r="J643" s="3" t="s">
        <v>62</v>
      </c>
      <c r="K643" s="2" t="s">
        <v>7498</v>
      </c>
      <c r="L643" s="2" t="s">
        <v>7499</v>
      </c>
      <c r="M643" s="3" t="s">
        <v>5326</v>
      </c>
      <c r="O643" s="3" t="s">
        <v>114</v>
      </c>
      <c r="P643" s="3" t="s">
        <v>67</v>
      </c>
      <c r="R643" s="3" t="s">
        <v>68</v>
      </c>
      <c r="S643" s="4">
        <v>0</v>
      </c>
      <c r="T643" s="4">
        <v>8</v>
      </c>
      <c r="V643" s="5" t="s">
        <v>7500</v>
      </c>
      <c r="W643" s="5" t="s">
        <v>1638</v>
      </c>
      <c r="X643" s="5" t="s">
        <v>1638</v>
      </c>
      <c r="Y643" s="4">
        <v>141</v>
      </c>
      <c r="Z643" s="4">
        <v>140</v>
      </c>
      <c r="AA643" s="4">
        <v>146</v>
      </c>
      <c r="AB643" s="4">
        <v>2</v>
      </c>
      <c r="AC643" s="4">
        <v>2</v>
      </c>
      <c r="AD643" s="4">
        <v>11</v>
      </c>
      <c r="AE643" s="4">
        <v>11</v>
      </c>
      <c r="AF643" s="4">
        <v>6</v>
      </c>
      <c r="AG643" s="4">
        <v>6</v>
      </c>
      <c r="AH643" s="4">
        <v>2</v>
      </c>
      <c r="AI643" s="4">
        <v>2</v>
      </c>
      <c r="AJ643" s="4">
        <v>5</v>
      </c>
      <c r="AK643" s="4">
        <v>5</v>
      </c>
      <c r="AL643" s="4">
        <v>1</v>
      </c>
      <c r="AM643" s="4">
        <v>1</v>
      </c>
      <c r="AN643" s="4">
        <v>0</v>
      </c>
      <c r="AO643" s="4">
        <v>0</v>
      </c>
      <c r="AP643" s="3" t="s">
        <v>61</v>
      </c>
      <c r="AQ643" s="3" t="s">
        <v>59</v>
      </c>
      <c r="AR643" s="6" t="str">
        <f t="shared" si="12"/>
        <v>HathiTrust Record</v>
      </c>
      <c r="AS643" s="6" t="str">
        <f t="shared" si="13"/>
        <v>Catalog Record</v>
      </c>
      <c r="AT643" s="6" t="str">
        <f t="shared" si="14"/>
        <v>WorldCat Record</v>
      </c>
      <c r="AU643" s="3" t="s">
        <v>7501</v>
      </c>
      <c r="AV643" s="3" t="s">
        <v>7502</v>
      </c>
      <c r="AW643" s="3" t="s">
        <v>7503</v>
      </c>
      <c r="AX643" s="3" t="s">
        <v>7503</v>
      </c>
      <c r="AY643" s="3" t="s">
        <v>7504</v>
      </c>
      <c r="AZ643" s="3" t="s">
        <v>75</v>
      </c>
      <c r="BC643" s="3" t="s">
        <v>7531</v>
      </c>
      <c r="BD643" s="3" t="s">
        <v>7532</v>
      </c>
    </row>
    <row r="644" spans="1:56" ht="44.25" customHeight="1" x14ac:dyDescent="0.25">
      <c r="A644" s="7" t="s">
        <v>61</v>
      </c>
      <c r="B644" s="2" t="s">
        <v>7494</v>
      </c>
      <c r="C644" s="2" t="s">
        <v>7495</v>
      </c>
      <c r="D644" s="2" t="s">
        <v>7496</v>
      </c>
      <c r="E644" s="3" t="s">
        <v>7533</v>
      </c>
      <c r="F644" s="3" t="s">
        <v>59</v>
      </c>
      <c r="G644" s="3" t="s">
        <v>60</v>
      </c>
      <c r="H644" s="3" t="s">
        <v>61</v>
      </c>
      <c r="I644" s="3" t="s">
        <v>61</v>
      </c>
      <c r="J644" s="3" t="s">
        <v>62</v>
      </c>
      <c r="K644" s="2" t="s">
        <v>7498</v>
      </c>
      <c r="L644" s="2" t="s">
        <v>7499</v>
      </c>
      <c r="M644" s="3" t="s">
        <v>5326</v>
      </c>
      <c r="O644" s="3" t="s">
        <v>114</v>
      </c>
      <c r="P644" s="3" t="s">
        <v>67</v>
      </c>
      <c r="R644" s="3" t="s">
        <v>68</v>
      </c>
      <c r="S644" s="4">
        <v>0</v>
      </c>
      <c r="T644" s="4">
        <v>8</v>
      </c>
      <c r="V644" s="5" t="s">
        <v>7500</v>
      </c>
      <c r="W644" s="5" t="s">
        <v>1638</v>
      </c>
      <c r="X644" s="5" t="s">
        <v>1638</v>
      </c>
      <c r="Y644" s="4">
        <v>141</v>
      </c>
      <c r="Z644" s="4">
        <v>140</v>
      </c>
      <c r="AA644" s="4">
        <v>146</v>
      </c>
      <c r="AB644" s="4">
        <v>2</v>
      </c>
      <c r="AC644" s="4">
        <v>2</v>
      </c>
      <c r="AD644" s="4">
        <v>11</v>
      </c>
      <c r="AE644" s="4">
        <v>11</v>
      </c>
      <c r="AF644" s="4">
        <v>6</v>
      </c>
      <c r="AG644" s="4">
        <v>6</v>
      </c>
      <c r="AH644" s="4">
        <v>2</v>
      </c>
      <c r="AI644" s="4">
        <v>2</v>
      </c>
      <c r="AJ644" s="4">
        <v>5</v>
      </c>
      <c r="AK644" s="4">
        <v>5</v>
      </c>
      <c r="AL644" s="4">
        <v>1</v>
      </c>
      <c r="AM644" s="4">
        <v>1</v>
      </c>
      <c r="AN644" s="4">
        <v>0</v>
      </c>
      <c r="AO644" s="4">
        <v>0</v>
      </c>
      <c r="AP644" s="3" t="s">
        <v>61</v>
      </c>
      <c r="AQ644" s="3" t="s">
        <v>59</v>
      </c>
      <c r="AR644" s="6" t="str">
        <f t="shared" si="12"/>
        <v>HathiTrust Record</v>
      </c>
      <c r="AS644" s="6" t="str">
        <f t="shared" si="13"/>
        <v>Catalog Record</v>
      </c>
      <c r="AT644" s="6" t="str">
        <f t="shared" si="14"/>
        <v>WorldCat Record</v>
      </c>
      <c r="AU644" s="3" t="s">
        <v>7501</v>
      </c>
      <c r="AV644" s="3" t="s">
        <v>7502</v>
      </c>
      <c r="AW644" s="3" t="s">
        <v>7503</v>
      </c>
      <c r="AX644" s="3" t="s">
        <v>7503</v>
      </c>
      <c r="AY644" s="3" t="s">
        <v>7504</v>
      </c>
      <c r="AZ644" s="3" t="s">
        <v>75</v>
      </c>
      <c r="BC644" s="3" t="s">
        <v>7534</v>
      </c>
      <c r="BD644" s="3" t="s">
        <v>7535</v>
      </c>
    </row>
    <row r="645" spans="1:56" ht="44.25" customHeight="1" x14ac:dyDescent="0.25">
      <c r="A645" s="7" t="s">
        <v>61</v>
      </c>
      <c r="B645" s="2" t="s">
        <v>7494</v>
      </c>
      <c r="C645" s="2" t="s">
        <v>7495</v>
      </c>
      <c r="D645" s="2" t="s">
        <v>7496</v>
      </c>
      <c r="E645" s="3" t="s">
        <v>7536</v>
      </c>
      <c r="F645" s="3" t="s">
        <v>59</v>
      </c>
      <c r="G645" s="3" t="s">
        <v>60</v>
      </c>
      <c r="H645" s="3" t="s">
        <v>61</v>
      </c>
      <c r="I645" s="3" t="s">
        <v>61</v>
      </c>
      <c r="J645" s="3" t="s">
        <v>62</v>
      </c>
      <c r="K645" s="2" t="s">
        <v>7498</v>
      </c>
      <c r="L645" s="2" t="s">
        <v>7499</v>
      </c>
      <c r="M645" s="3" t="s">
        <v>5326</v>
      </c>
      <c r="O645" s="3" t="s">
        <v>114</v>
      </c>
      <c r="P645" s="3" t="s">
        <v>67</v>
      </c>
      <c r="R645" s="3" t="s">
        <v>68</v>
      </c>
      <c r="S645" s="4">
        <v>0</v>
      </c>
      <c r="T645" s="4">
        <v>8</v>
      </c>
      <c r="V645" s="5" t="s">
        <v>7500</v>
      </c>
      <c r="W645" s="5" t="s">
        <v>1638</v>
      </c>
      <c r="X645" s="5" t="s">
        <v>1638</v>
      </c>
      <c r="Y645" s="4">
        <v>141</v>
      </c>
      <c r="Z645" s="4">
        <v>140</v>
      </c>
      <c r="AA645" s="4">
        <v>146</v>
      </c>
      <c r="AB645" s="4">
        <v>2</v>
      </c>
      <c r="AC645" s="4">
        <v>2</v>
      </c>
      <c r="AD645" s="4">
        <v>11</v>
      </c>
      <c r="AE645" s="4">
        <v>11</v>
      </c>
      <c r="AF645" s="4">
        <v>6</v>
      </c>
      <c r="AG645" s="4">
        <v>6</v>
      </c>
      <c r="AH645" s="4">
        <v>2</v>
      </c>
      <c r="AI645" s="4">
        <v>2</v>
      </c>
      <c r="AJ645" s="4">
        <v>5</v>
      </c>
      <c r="AK645" s="4">
        <v>5</v>
      </c>
      <c r="AL645" s="4">
        <v>1</v>
      </c>
      <c r="AM645" s="4">
        <v>1</v>
      </c>
      <c r="AN645" s="4">
        <v>0</v>
      </c>
      <c r="AO645" s="4">
        <v>0</v>
      </c>
      <c r="AP645" s="3" t="s">
        <v>61</v>
      </c>
      <c r="AQ645" s="3" t="s">
        <v>59</v>
      </c>
      <c r="AR645" s="6" t="str">
        <f t="shared" si="12"/>
        <v>HathiTrust Record</v>
      </c>
      <c r="AS645" s="6" t="str">
        <f t="shared" si="13"/>
        <v>Catalog Record</v>
      </c>
      <c r="AT645" s="6" t="str">
        <f t="shared" si="14"/>
        <v>WorldCat Record</v>
      </c>
      <c r="AU645" s="3" t="s">
        <v>7501</v>
      </c>
      <c r="AV645" s="3" t="s">
        <v>7502</v>
      </c>
      <c r="AW645" s="3" t="s">
        <v>7503</v>
      </c>
      <c r="AX645" s="3" t="s">
        <v>7503</v>
      </c>
      <c r="AY645" s="3" t="s">
        <v>7504</v>
      </c>
      <c r="AZ645" s="3" t="s">
        <v>75</v>
      </c>
      <c r="BC645" s="3" t="s">
        <v>7537</v>
      </c>
      <c r="BD645" s="3" t="s">
        <v>7538</v>
      </c>
    </row>
    <row r="646" spans="1:56" ht="44.25" customHeight="1" x14ac:dyDescent="0.25">
      <c r="A646" s="7" t="s">
        <v>61</v>
      </c>
      <c r="B646" s="2" t="s">
        <v>7494</v>
      </c>
      <c r="C646" s="2" t="s">
        <v>7495</v>
      </c>
      <c r="D646" s="2" t="s">
        <v>7496</v>
      </c>
      <c r="E646" s="3" t="s">
        <v>3543</v>
      </c>
      <c r="F646" s="3" t="s">
        <v>59</v>
      </c>
      <c r="G646" s="3" t="s">
        <v>60</v>
      </c>
      <c r="H646" s="3" t="s">
        <v>61</v>
      </c>
      <c r="I646" s="3" t="s">
        <v>61</v>
      </c>
      <c r="J646" s="3" t="s">
        <v>62</v>
      </c>
      <c r="K646" s="2" t="s">
        <v>7498</v>
      </c>
      <c r="L646" s="2" t="s">
        <v>7499</v>
      </c>
      <c r="M646" s="3" t="s">
        <v>5326</v>
      </c>
      <c r="O646" s="3" t="s">
        <v>114</v>
      </c>
      <c r="P646" s="3" t="s">
        <v>67</v>
      </c>
      <c r="R646" s="3" t="s">
        <v>68</v>
      </c>
      <c r="S646" s="4">
        <v>0</v>
      </c>
      <c r="T646" s="4">
        <v>8</v>
      </c>
      <c r="V646" s="5" t="s">
        <v>7500</v>
      </c>
      <c r="W646" s="5" t="s">
        <v>1638</v>
      </c>
      <c r="X646" s="5" t="s">
        <v>1638</v>
      </c>
      <c r="Y646" s="4">
        <v>141</v>
      </c>
      <c r="Z646" s="4">
        <v>140</v>
      </c>
      <c r="AA646" s="4">
        <v>146</v>
      </c>
      <c r="AB646" s="4">
        <v>2</v>
      </c>
      <c r="AC646" s="4">
        <v>2</v>
      </c>
      <c r="AD646" s="4">
        <v>11</v>
      </c>
      <c r="AE646" s="4">
        <v>11</v>
      </c>
      <c r="AF646" s="4">
        <v>6</v>
      </c>
      <c r="AG646" s="4">
        <v>6</v>
      </c>
      <c r="AH646" s="4">
        <v>2</v>
      </c>
      <c r="AI646" s="4">
        <v>2</v>
      </c>
      <c r="AJ646" s="4">
        <v>5</v>
      </c>
      <c r="AK646" s="4">
        <v>5</v>
      </c>
      <c r="AL646" s="4">
        <v>1</v>
      </c>
      <c r="AM646" s="4">
        <v>1</v>
      </c>
      <c r="AN646" s="4">
        <v>0</v>
      </c>
      <c r="AO646" s="4">
        <v>0</v>
      </c>
      <c r="AP646" s="3" t="s">
        <v>61</v>
      </c>
      <c r="AQ646" s="3" t="s">
        <v>59</v>
      </c>
      <c r="AR646" s="6" t="str">
        <f t="shared" si="12"/>
        <v>HathiTrust Record</v>
      </c>
      <c r="AS646" s="6" t="str">
        <f t="shared" si="13"/>
        <v>Catalog Record</v>
      </c>
      <c r="AT646" s="6" t="str">
        <f t="shared" si="14"/>
        <v>WorldCat Record</v>
      </c>
      <c r="AU646" s="3" t="s">
        <v>7501</v>
      </c>
      <c r="AV646" s="3" t="s">
        <v>7502</v>
      </c>
      <c r="AW646" s="3" t="s">
        <v>7503</v>
      </c>
      <c r="AX646" s="3" t="s">
        <v>7503</v>
      </c>
      <c r="AY646" s="3" t="s">
        <v>7504</v>
      </c>
      <c r="AZ646" s="3" t="s">
        <v>75</v>
      </c>
      <c r="BC646" s="3" t="s">
        <v>7539</v>
      </c>
      <c r="BD646" s="3" t="s">
        <v>7540</v>
      </c>
    </row>
    <row r="647" spans="1:56" ht="44.25" customHeight="1" x14ac:dyDescent="0.25">
      <c r="A647" s="7" t="s">
        <v>61</v>
      </c>
      <c r="B647" s="2" t="s">
        <v>7494</v>
      </c>
      <c r="C647" s="2" t="s">
        <v>7495</v>
      </c>
      <c r="D647" s="2" t="s">
        <v>7496</v>
      </c>
      <c r="E647" s="3" t="s">
        <v>7541</v>
      </c>
      <c r="F647" s="3" t="s">
        <v>59</v>
      </c>
      <c r="G647" s="3" t="s">
        <v>60</v>
      </c>
      <c r="H647" s="3" t="s">
        <v>61</v>
      </c>
      <c r="I647" s="3" t="s">
        <v>61</v>
      </c>
      <c r="J647" s="3" t="s">
        <v>62</v>
      </c>
      <c r="K647" s="2" t="s">
        <v>7498</v>
      </c>
      <c r="L647" s="2" t="s">
        <v>7499</v>
      </c>
      <c r="M647" s="3" t="s">
        <v>5326</v>
      </c>
      <c r="O647" s="3" t="s">
        <v>114</v>
      </c>
      <c r="P647" s="3" t="s">
        <v>67</v>
      </c>
      <c r="R647" s="3" t="s">
        <v>68</v>
      </c>
      <c r="S647" s="4">
        <v>0</v>
      </c>
      <c r="T647" s="4">
        <v>8</v>
      </c>
      <c r="V647" s="5" t="s">
        <v>7500</v>
      </c>
      <c r="W647" s="5" t="s">
        <v>1638</v>
      </c>
      <c r="X647" s="5" t="s">
        <v>1638</v>
      </c>
      <c r="Y647" s="4">
        <v>141</v>
      </c>
      <c r="Z647" s="4">
        <v>140</v>
      </c>
      <c r="AA647" s="4">
        <v>146</v>
      </c>
      <c r="AB647" s="4">
        <v>2</v>
      </c>
      <c r="AC647" s="4">
        <v>2</v>
      </c>
      <c r="AD647" s="4">
        <v>11</v>
      </c>
      <c r="AE647" s="4">
        <v>11</v>
      </c>
      <c r="AF647" s="4">
        <v>6</v>
      </c>
      <c r="AG647" s="4">
        <v>6</v>
      </c>
      <c r="AH647" s="4">
        <v>2</v>
      </c>
      <c r="AI647" s="4">
        <v>2</v>
      </c>
      <c r="AJ647" s="4">
        <v>5</v>
      </c>
      <c r="AK647" s="4">
        <v>5</v>
      </c>
      <c r="AL647" s="4">
        <v>1</v>
      </c>
      <c r="AM647" s="4">
        <v>1</v>
      </c>
      <c r="AN647" s="4">
        <v>0</v>
      </c>
      <c r="AO647" s="4">
        <v>0</v>
      </c>
      <c r="AP647" s="3" t="s">
        <v>61</v>
      </c>
      <c r="AQ647" s="3" t="s">
        <v>59</v>
      </c>
      <c r="AR647" s="6" t="str">
        <f t="shared" si="12"/>
        <v>HathiTrust Record</v>
      </c>
      <c r="AS647" s="6" t="str">
        <f t="shared" si="13"/>
        <v>Catalog Record</v>
      </c>
      <c r="AT647" s="6" t="str">
        <f t="shared" si="14"/>
        <v>WorldCat Record</v>
      </c>
      <c r="AU647" s="3" t="s">
        <v>7501</v>
      </c>
      <c r="AV647" s="3" t="s">
        <v>7502</v>
      </c>
      <c r="AW647" s="3" t="s">
        <v>7503</v>
      </c>
      <c r="AX647" s="3" t="s">
        <v>7503</v>
      </c>
      <c r="AY647" s="3" t="s">
        <v>7504</v>
      </c>
      <c r="AZ647" s="3" t="s">
        <v>75</v>
      </c>
      <c r="BC647" s="3" t="s">
        <v>7542</v>
      </c>
      <c r="BD647" s="3" t="s">
        <v>7543</v>
      </c>
    </row>
    <row r="648" spans="1:56" ht="44.25" customHeight="1" x14ac:dyDescent="0.25">
      <c r="A648" s="7" t="s">
        <v>61</v>
      </c>
      <c r="B648" s="2" t="s">
        <v>7494</v>
      </c>
      <c r="C648" s="2" t="s">
        <v>7495</v>
      </c>
      <c r="D648" s="2" t="s">
        <v>7496</v>
      </c>
      <c r="E648" s="3" t="s">
        <v>3548</v>
      </c>
      <c r="F648" s="3" t="s">
        <v>59</v>
      </c>
      <c r="G648" s="3" t="s">
        <v>60</v>
      </c>
      <c r="H648" s="3" t="s">
        <v>61</v>
      </c>
      <c r="I648" s="3" t="s">
        <v>61</v>
      </c>
      <c r="J648" s="3" t="s">
        <v>62</v>
      </c>
      <c r="K648" s="2" t="s">
        <v>7498</v>
      </c>
      <c r="L648" s="2" t="s">
        <v>7499</v>
      </c>
      <c r="M648" s="3" t="s">
        <v>5326</v>
      </c>
      <c r="O648" s="3" t="s">
        <v>114</v>
      </c>
      <c r="P648" s="3" t="s">
        <v>67</v>
      </c>
      <c r="R648" s="3" t="s">
        <v>68</v>
      </c>
      <c r="S648" s="4">
        <v>0</v>
      </c>
      <c r="T648" s="4">
        <v>8</v>
      </c>
      <c r="V648" s="5" t="s">
        <v>7500</v>
      </c>
      <c r="W648" s="5" t="s">
        <v>1638</v>
      </c>
      <c r="X648" s="5" t="s">
        <v>1638</v>
      </c>
      <c r="Y648" s="4">
        <v>141</v>
      </c>
      <c r="Z648" s="4">
        <v>140</v>
      </c>
      <c r="AA648" s="4">
        <v>146</v>
      </c>
      <c r="AB648" s="4">
        <v>2</v>
      </c>
      <c r="AC648" s="4">
        <v>2</v>
      </c>
      <c r="AD648" s="4">
        <v>11</v>
      </c>
      <c r="AE648" s="4">
        <v>11</v>
      </c>
      <c r="AF648" s="4">
        <v>6</v>
      </c>
      <c r="AG648" s="4">
        <v>6</v>
      </c>
      <c r="AH648" s="4">
        <v>2</v>
      </c>
      <c r="AI648" s="4">
        <v>2</v>
      </c>
      <c r="AJ648" s="4">
        <v>5</v>
      </c>
      <c r="AK648" s="4">
        <v>5</v>
      </c>
      <c r="AL648" s="4">
        <v>1</v>
      </c>
      <c r="AM648" s="4">
        <v>1</v>
      </c>
      <c r="AN648" s="4">
        <v>0</v>
      </c>
      <c r="AO648" s="4">
        <v>0</v>
      </c>
      <c r="AP648" s="3" t="s">
        <v>61</v>
      </c>
      <c r="AQ648" s="3" t="s">
        <v>59</v>
      </c>
      <c r="AR648" s="6" t="str">
        <f t="shared" si="12"/>
        <v>HathiTrust Record</v>
      </c>
      <c r="AS648" s="6" t="str">
        <f t="shared" si="13"/>
        <v>Catalog Record</v>
      </c>
      <c r="AT648" s="6" t="str">
        <f t="shared" si="14"/>
        <v>WorldCat Record</v>
      </c>
      <c r="AU648" s="3" t="s">
        <v>7501</v>
      </c>
      <c r="AV648" s="3" t="s">
        <v>7502</v>
      </c>
      <c r="AW648" s="3" t="s">
        <v>7503</v>
      </c>
      <c r="AX648" s="3" t="s">
        <v>7503</v>
      </c>
      <c r="AY648" s="3" t="s">
        <v>7504</v>
      </c>
      <c r="AZ648" s="3" t="s">
        <v>75</v>
      </c>
      <c r="BC648" s="3" t="s">
        <v>7544</v>
      </c>
      <c r="BD648" s="3" t="s">
        <v>7545</v>
      </c>
    </row>
    <row r="649" spans="1:56" ht="44.25" customHeight="1" x14ac:dyDescent="0.25">
      <c r="A649" s="7" t="s">
        <v>61</v>
      </c>
      <c r="B649" s="2" t="s">
        <v>7494</v>
      </c>
      <c r="C649" s="2" t="s">
        <v>7495</v>
      </c>
      <c r="D649" s="2" t="s">
        <v>7496</v>
      </c>
      <c r="E649" s="3" t="s">
        <v>58</v>
      </c>
      <c r="F649" s="3" t="s">
        <v>59</v>
      </c>
      <c r="G649" s="3" t="s">
        <v>60</v>
      </c>
      <c r="H649" s="3" t="s">
        <v>61</v>
      </c>
      <c r="I649" s="3" t="s">
        <v>61</v>
      </c>
      <c r="J649" s="3" t="s">
        <v>62</v>
      </c>
      <c r="K649" s="2" t="s">
        <v>7498</v>
      </c>
      <c r="L649" s="2" t="s">
        <v>7499</v>
      </c>
      <c r="M649" s="3" t="s">
        <v>5326</v>
      </c>
      <c r="O649" s="3" t="s">
        <v>114</v>
      </c>
      <c r="P649" s="3" t="s">
        <v>67</v>
      </c>
      <c r="R649" s="3" t="s">
        <v>68</v>
      </c>
      <c r="S649" s="4">
        <v>0</v>
      </c>
      <c r="T649" s="4">
        <v>8</v>
      </c>
      <c r="V649" s="5" t="s">
        <v>7500</v>
      </c>
      <c r="W649" s="5" t="s">
        <v>1638</v>
      </c>
      <c r="X649" s="5" t="s">
        <v>1638</v>
      </c>
      <c r="Y649" s="4">
        <v>141</v>
      </c>
      <c r="Z649" s="4">
        <v>140</v>
      </c>
      <c r="AA649" s="4">
        <v>146</v>
      </c>
      <c r="AB649" s="4">
        <v>2</v>
      </c>
      <c r="AC649" s="4">
        <v>2</v>
      </c>
      <c r="AD649" s="4">
        <v>11</v>
      </c>
      <c r="AE649" s="4">
        <v>11</v>
      </c>
      <c r="AF649" s="4">
        <v>6</v>
      </c>
      <c r="AG649" s="4">
        <v>6</v>
      </c>
      <c r="AH649" s="4">
        <v>2</v>
      </c>
      <c r="AI649" s="4">
        <v>2</v>
      </c>
      <c r="AJ649" s="4">
        <v>5</v>
      </c>
      <c r="AK649" s="4">
        <v>5</v>
      </c>
      <c r="AL649" s="4">
        <v>1</v>
      </c>
      <c r="AM649" s="4">
        <v>1</v>
      </c>
      <c r="AN649" s="4">
        <v>0</v>
      </c>
      <c r="AO649" s="4">
        <v>0</v>
      </c>
      <c r="AP649" s="3" t="s">
        <v>61</v>
      </c>
      <c r="AQ649" s="3" t="s">
        <v>59</v>
      </c>
      <c r="AR649" s="6" t="str">
        <f t="shared" si="12"/>
        <v>HathiTrust Record</v>
      </c>
      <c r="AS649" s="6" t="str">
        <f t="shared" si="13"/>
        <v>Catalog Record</v>
      </c>
      <c r="AT649" s="6" t="str">
        <f t="shared" si="14"/>
        <v>WorldCat Record</v>
      </c>
      <c r="AU649" s="3" t="s">
        <v>7501</v>
      </c>
      <c r="AV649" s="3" t="s">
        <v>7502</v>
      </c>
      <c r="AW649" s="3" t="s">
        <v>7503</v>
      </c>
      <c r="AX649" s="3" t="s">
        <v>7503</v>
      </c>
      <c r="AY649" s="3" t="s">
        <v>7504</v>
      </c>
      <c r="AZ649" s="3" t="s">
        <v>75</v>
      </c>
      <c r="BC649" s="3" t="s">
        <v>7546</v>
      </c>
      <c r="BD649" s="3" t="s">
        <v>7547</v>
      </c>
    </row>
    <row r="650" spans="1:56" ht="44.25" customHeight="1" x14ac:dyDescent="0.25">
      <c r="A650" s="7" t="s">
        <v>61</v>
      </c>
      <c r="B650" s="2" t="s">
        <v>7494</v>
      </c>
      <c r="C650" s="2" t="s">
        <v>7495</v>
      </c>
      <c r="D650" s="2" t="s">
        <v>7496</v>
      </c>
      <c r="E650" s="3" t="s">
        <v>7548</v>
      </c>
      <c r="F650" s="3" t="s">
        <v>59</v>
      </c>
      <c r="G650" s="3" t="s">
        <v>60</v>
      </c>
      <c r="H650" s="3" t="s">
        <v>61</v>
      </c>
      <c r="I650" s="3" t="s">
        <v>61</v>
      </c>
      <c r="J650" s="3" t="s">
        <v>62</v>
      </c>
      <c r="K650" s="2" t="s">
        <v>7498</v>
      </c>
      <c r="L650" s="2" t="s">
        <v>7499</v>
      </c>
      <c r="M650" s="3" t="s">
        <v>5326</v>
      </c>
      <c r="O650" s="3" t="s">
        <v>114</v>
      </c>
      <c r="P650" s="3" t="s">
        <v>67</v>
      </c>
      <c r="R650" s="3" t="s">
        <v>68</v>
      </c>
      <c r="S650" s="4">
        <v>0</v>
      </c>
      <c r="T650" s="4">
        <v>8</v>
      </c>
      <c r="V650" s="5" t="s">
        <v>7500</v>
      </c>
      <c r="W650" s="5" t="s">
        <v>1638</v>
      </c>
      <c r="X650" s="5" t="s">
        <v>1638</v>
      </c>
      <c r="Y650" s="4">
        <v>141</v>
      </c>
      <c r="Z650" s="4">
        <v>140</v>
      </c>
      <c r="AA650" s="4">
        <v>146</v>
      </c>
      <c r="AB650" s="4">
        <v>2</v>
      </c>
      <c r="AC650" s="4">
        <v>2</v>
      </c>
      <c r="AD650" s="4">
        <v>11</v>
      </c>
      <c r="AE650" s="4">
        <v>11</v>
      </c>
      <c r="AF650" s="4">
        <v>6</v>
      </c>
      <c r="AG650" s="4">
        <v>6</v>
      </c>
      <c r="AH650" s="4">
        <v>2</v>
      </c>
      <c r="AI650" s="4">
        <v>2</v>
      </c>
      <c r="AJ650" s="4">
        <v>5</v>
      </c>
      <c r="AK650" s="4">
        <v>5</v>
      </c>
      <c r="AL650" s="4">
        <v>1</v>
      </c>
      <c r="AM650" s="4">
        <v>1</v>
      </c>
      <c r="AN650" s="4">
        <v>0</v>
      </c>
      <c r="AO650" s="4">
        <v>0</v>
      </c>
      <c r="AP650" s="3" t="s">
        <v>61</v>
      </c>
      <c r="AQ650" s="3" t="s">
        <v>59</v>
      </c>
      <c r="AR650" s="6" t="str">
        <f t="shared" si="12"/>
        <v>HathiTrust Record</v>
      </c>
      <c r="AS650" s="6" t="str">
        <f t="shared" si="13"/>
        <v>Catalog Record</v>
      </c>
      <c r="AT650" s="6" t="str">
        <f t="shared" si="14"/>
        <v>WorldCat Record</v>
      </c>
      <c r="AU650" s="3" t="s">
        <v>7501</v>
      </c>
      <c r="AV650" s="3" t="s">
        <v>7502</v>
      </c>
      <c r="AW650" s="3" t="s">
        <v>7503</v>
      </c>
      <c r="AX650" s="3" t="s">
        <v>7503</v>
      </c>
      <c r="AY650" s="3" t="s">
        <v>7504</v>
      </c>
      <c r="AZ650" s="3" t="s">
        <v>75</v>
      </c>
      <c r="BC650" s="3" t="s">
        <v>7549</v>
      </c>
      <c r="BD650" s="3" t="s">
        <v>7550</v>
      </c>
    </row>
    <row r="651" spans="1:56" ht="44.25" customHeight="1" x14ac:dyDescent="0.25">
      <c r="A651" s="7" t="s">
        <v>61</v>
      </c>
      <c r="B651" s="2" t="s">
        <v>7494</v>
      </c>
      <c r="C651" s="2" t="s">
        <v>7495</v>
      </c>
      <c r="D651" s="2" t="s">
        <v>7496</v>
      </c>
      <c r="E651" s="3" t="s">
        <v>7551</v>
      </c>
      <c r="F651" s="3" t="s">
        <v>59</v>
      </c>
      <c r="G651" s="3" t="s">
        <v>60</v>
      </c>
      <c r="H651" s="3" t="s">
        <v>61</v>
      </c>
      <c r="I651" s="3" t="s">
        <v>61</v>
      </c>
      <c r="J651" s="3" t="s">
        <v>62</v>
      </c>
      <c r="K651" s="2" t="s">
        <v>7498</v>
      </c>
      <c r="L651" s="2" t="s">
        <v>7499</v>
      </c>
      <c r="M651" s="3" t="s">
        <v>5326</v>
      </c>
      <c r="O651" s="3" t="s">
        <v>114</v>
      </c>
      <c r="P651" s="3" t="s">
        <v>67</v>
      </c>
      <c r="R651" s="3" t="s">
        <v>68</v>
      </c>
      <c r="S651" s="4">
        <v>0</v>
      </c>
      <c r="T651" s="4">
        <v>8</v>
      </c>
      <c r="V651" s="5" t="s">
        <v>7500</v>
      </c>
      <c r="W651" s="5" t="s">
        <v>1638</v>
      </c>
      <c r="X651" s="5" t="s">
        <v>1638</v>
      </c>
      <c r="Y651" s="4">
        <v>141</v>
      </c>
      <c r="Z651" s="4">
        <v>140</v>
      </c>
      <c r="AA651" s="4">
        <v>146</v>
      </c>
      <c r="AB651" s="4">
        <v>2</v>
      </c>
      <c r="AC651" s="4">
        <v>2</v>
      </c>
      <c r="AD651" s="4">
        <v>11</v>
      </c>
      <c r="AE651" s="4">
        <v>11</v>
      </c>
      <c r="AF651" s="4">
        <v>6</v>
      </c>
      <c r="AG651" s="4">
        <v>6</v>
      </c>
      <c r="AH651" s="4">
        <v>2</v>
      </c>
      <c r="AI651" s="4">
        <v>2</v>
      </c>
      <c r="AJ651" s="4">
        <v>5</v>
      </c>
      <c r="AK651" s="4">
        <v>5</v>
      </c>
      <c r="AL651" s="4">
        <v>1</v>
      </c>
      <c r="AM651" s="4">
        <v>1</v>
      </c>
      <c r="AN651" s="4">
        <v>0</v>
      </c>
      <c r="AO651" s="4">
        <v>0</v>
      </c>
      <c r="AP651" s="3" t="s">
        <v>61</v>
      </c>
      <c r="AQ651" s="3" t="s">
        <v>59</v>
      </c>
      <c r="AR651" s="6" t="str">
        <f t="shared" si="12"/>
        <v>HathiTrust Record</v>
      </c>
      <c r="AS651" s="6" t="str">
        <f t="shared" si="13"/>
        <v>Catalog Record</v>
      </c>
      <c r="AT651" s="6" t="str">
        <f t="shared" si="14"/>
        <v>WorldCat Record</v>
      </c>
      <c r="AU651" s="3" t="s">
        <v>7501</v>
      </c>
      <c r="AV651" s="3" t="s">
        <v>7502</v>
      </c>
      <c r="AW651" s="3" t="s">
        <v>7503</v>
      </c>
      <c r="AX651" s="3" t="s">
        <v>7503</v>
      </c>
      <c r="AY651" s="3" t="s">
        <v>7504</v>
      </c>
      <c r="AZ651" s="3" t="s">
        <v>75</v>
      </c>
      <c r="BC651" s="3" t="s">
        <v>7552</v>
      </c>
      <c r="BD651" s="3" t="s">
        <v>7553</v>
      </c>
    </row>
    <row r="652" spans="1:56" ht="44.25" customHeight="1" x14ac:dyDescent="0.25">
      <c r="A652" s="7" t="s">
        <v>61</v>
      </c>
      <c r="B652" s="2" t="s">
        <v>7494</v>
      </c>
      <c r="C652" s="2" t="s">
        <v>7495</v>
      </c>
      <c r="D652" s="2" t="s">
        <v>7496</v>
      </c>
      <c r="E652" s="3" t="s">
        <v>7554</v>
      </c>
      <c r="F652" s="3" t="s">
        <v>59</v>
      </c>
      <c r="G652" s="3" t="s">
        <v>60</v>
      </c>
      <c r="H652" s="3" t="s">
        <v>61</v>
      </c>
      <c r="I652" s="3" t="s">
        <v>61</v>
      </c>
      <c r="J652" s="3" t="s">
        <v>62</v>
      </c>
      <c r="K652" s="2" t="s">
        <v>7498</v>
      </c>
      <c r="L652" s="2" t="s">
        <v>7499</v>
      </c>
      <c r="M652" s="3" t="s">
        <v>5326</v>
      </c>
      <c r="O652" s="3" t="s">
        <v>114</v>
      </c>
      <c r="P652" s="3" t="s">
        <v>67</v>
      </c>
      <c r="R652" s="3" t="s">
        <v>68</v>
      </c>
      <c r="S652" s="4">
        <v>0</v>
      </c>
      <c r="T652" s="4">
        <v>8</v>
      </c>
      <c r="V652" s="5" t="s">
        <v>7500</v>
      </c>
      <c r="W652" s="5" t="s">
        <v>1638</v>
      </c>
      <c r="X652" s="5" t="s">
        <v>1638</v>
      </c>
      <c r="Y652" s="4">
        <v>141</v>
      </c>
      <c r="Z652" s="4">
        <v>140</v>
      </c>
      <c r="AA652" s="4">
        <v>146</v>
      </c>
      <c r="AB652" s="4">
        <v>2</v>
      </c>
      <c r="AC652" s="4">
        <v>2</v>
      </c>
      <c r="AD652" s="4">
        <v>11</v>
      </c>
      <c r="AE652" s="4">
        <v>11</v>
      </c>
      <c r="AF652" s="4">
        <v>6</v>
      </c>
      <c r="AG652" s="4">
        <v>6</v>
      </c>
      <c r="AH652" s="4">
        <v>2</v>
      </c>
      <c r="AI652" s="4">
        <v>2</v>
      </c>
      <c r="AJ652" s="4">
        <v>5</v>
      </c>
      <c r="AK652" s="4">
        <v>5</v>
      </c>
      <c r="AL652" s="4">
        <v>1</v>
      </c>
      <c r="AM652" s="4">
        <v>1</v>
      </c>
      <c r="AN652" s="4">
        <v>0</v>
      </c>
      <c r="AO652" s="4">
        <v>0</v>
      </c>
      <c r="AP652" s="3" t="s">
        <v>61</v>
      </c>
      <c r="AQ652" s="3" t="s">
        <v>59</v>
      </c>
      <c r="AR652" s="6" t="str">
        <f t="shared" si="12"/>
        <v>HathiTrust Record</v>
      </c>
      <c r="AS652" s="6" t="str">
        <f t="shared" si="13"/>
        <v>Catalog Record</v>
      </c>
      <c r="AT652" s="6" t="str">
        <f t="shared" si="14"/>
        <v>WorldCat Record</v>
      </c>
      <c r="AU652" s="3" t="s">
        <v>7501</v>
      </c>
      <c r="AV652" s="3" t="s">
        <v>7502</v>
      </c>
      <c r="AW652" s="3" t="s">
        <v>7503</v>
      </c>
      <c r="AX652" s="3" t="s">
        <v>7503</v>
      </c>
      <c r="AY652" s="3" t="s">
        <v>7504</v>
      </c>
      <c r="AZ652" s="3" t="s">
        <v>75</v>
      </c>
      <c r="BC652" s="3" t="s">
        <v>7555</v>
      </c>
      <c r="BD652" s="3" t="s">
        <v>7556</v>
      </c>
    </row>
    <row r="653" spans="1:56" ht="44.25" customHeight="1" x14ac:dyDescent="0.25">
      <c r="A653" s="7" t="s">
        <v>61</v>
      </c>
      <c r="B653" s="2" t="s">
        <v>7494</v>
      </c>
      <c r="C653" s="2" t="s">
        <v>7495</v>
      </c>
      <c r="D653" s="2" t="s">
        <v>7496</v>
      </c>
      <c r="E653" s="3" t="s">
        <v>7557</v>
      </c>
      <c r="F653" s="3" t="s">
        <v>59</v>
      </c>
      <c r="G653" s="3" t="s">
        <v>60</v>
      </c>
      <c r="H653" s="3" t="s">
        <v>61</v>
      </c>
      <c r="I653" s="3" t="s">
        <v>61</v>
      </c>
      <c r="J653" s="3" t="s">
        <v>62</v>
      </c>
      <c r="K653" s="2" t="s">
        <v>7498</v>
      </c>
      <c r="L653" s="2" t="s">
        <v>7499</v>
      </c>
      <c r="M653" s="3" t="s">
        <v>5326</v>
      </c>
      <c r="O653" s="3" t="s">
        <v>114</v>
      </c>
      <c r="P653" s="3" t="s">
        <v>67</v>
      </c>
      <c r="R653" s="3" t="s">
        <v>68</v>
      </c>
      <c r="S653" s="4">
        <v>0</v>
      </c>
      <c r="T653" s="4">
        <v>8</v>
      </c>
      <c r="V653" s="5" t="s">
        <v>7500</v>
      </c>
      <c r="W653" s="5" t="s">
        <v>1638</v>
      </c>
      <c r="X653" s="5" t="s">
        <v>1638</v>
      </c>
      <c r="Y653" s="4">
        <v>141</v>
      </c>
      <c r="Z653" s="4">
        <v>140</v>
      </c>
      <c r="AA653" s="4">
        <v>146</v>
      </c>
      <c r="AB653" s="4">
        <v>2</v>
      </c>
      <c r="AC653" s="4">
        <v>2</v>
      </c>
      <c r="AD653" s="4">
        <v>11</v>
      </c>
      <c r="AE653" s="4">
        <v>11</v>
      </c>
      <c r="AF653" s="4">
        <v>6</v>
      </c>
      <c r="AG653" s="4">
        <v>6</v>
      </c>
      <c r="AH653" s="4">
        <v>2</v>
      </c>
      <c r="AI653" s="4">
        <v>2</v>
      </c>
      <c r="AJ653" s="4">
        <v>5</v>
      </c>
      <c r="AK653" s="4">
        <v>5</v>
      </c>
      <c r="AL653" s="4">
        <v>1</v>
      </c>
      <c r="AM653" s="4">
        <v>1</v>
      </c>
      <c r="AN653" s="4">
        <v>0</v>
      </c>
      <c r="AO653" s="4">
        <v>0</v>
      </c>
      <c r="AP653" s="3" t="s">
        <v>61</v>
      </c>
      <c r="AQ653" s="3" t="s">
        <v>59</v>
      </c>
      <c r="AR653" s="6" t="str">
        <f t="shared" si="12"/>
        <v>HathiTrust Record</v>
      </c>
      <c r="AS653" s="6" t="str">
        <f t="shared" si="13"/>
        <v>Catalog Record</v>
      </c>
      <c r="AT653" s="6" t="str">
        <f t="shared" si="14"/>
        <v>WorldCat Record</v>
      </c>
      <c r="AU653" s="3" t="s">
        <v>7501</v>
      </c>
      <c r="AV653" s="3" t="s">
        <v>7502</v>
      </c>
      <c r="AW653" s="3" t="s">
        <v>7503</v>
      </c>
      <c r="AX653" s="3" t="s">
        <v>7503</v>
      </c>
      <c r="AY653" s="3" t="s">
        <v>7504</v>
      </c>
      <c r="AZ653" s="3" t="s">
        <v>75</v>
      </c>
      <c r="BC653" s="3" t="s">
        <v>7558</v>
      </c>
      <c r="BD653" s="3" t="s">
        <v>7559</v>
      </c>
    </row>
    <row r="654" spans="1:56" ht="44.25" customHeight="1" x14ac:dyDescent="0.25">
      <c r="A654" s="7" t="s">
        <v>61</v>
      </c>
      <c r="B654" s="2" t="s">
        <v>7494</v>
      </c>
      <c r="C654" s="2" t="s">
        <v>7495</v>
      </c>
      <c r="D654" s="2" t="s">
        <v>7496</v>
      </c>
      <c r="E654" s="3" t="s">
        <v>99</v>
      </c>
      <c r="F654" s="3" t="s">
        <v>59</v>
      </c>
      <c r="G654" s="3" t="s">
        <v>60</v>
      </c>
      <c r="H654" s="3" t="s">
        <v>61</v>
      </c>
      <c r="I654" s="3" t="s">
        <v>61</v>
      </c>
      <c r="J654" s="3" t="s">
        <v>62</v>
      </c>
      <c r="K654" s="2" t="s">
        <v>7498</v>
      </c>
      <c r="L654" s="2" t="s">
        <v>7499</v>
      </c>
      <c r="M654" s="3" t="s">
        <v>5326</v>
      </c>
      <c r="O654" s="3" t="s">
        <v>114</v>
      </c>
      <c r="P654" s="3" t="s">
        <v>67</v>
      </c>
      <c r="R654" s="3" t="s">
        <v>68</v>
      </c>
      <c r="S654" s="4">
        <v>0</v>
      </c>
      <c r="T654" s="4">
        <v>8</v>
      </c>
      <c r="V654" s="5" t="s">
        <v>7500</v>
      </c>
      <c r="W654" s="5" t="s">
        <v>1638</v>
      </c>
      <c r="X654" s="5" t="s">
        <v>1638</v>
      </c>
      <c r="Y654" s="4">
        <v>141</v>
      </c>
      <c r="Z654" s="4">
        <v>140</v>
      </c>
      <c r="AA654" s="4">
        <v>146</v>
      </c>
      <c r="AB654" s="4">
        <v>2</v>
      </c>
      <c r="AC654" s="4">
        <v>2</v>
      </c>
      <c r="AD654" s="4">
        <v>11</v>
      </c>
      <c r="AE654" s="4">
        <v>11</v>
      </c>
      <c r="AF654" s="4">
        <v>6</v>
      </c>
      <c r="AG654" s="4">
        <v>6</v>
      </c>
      <c r="AH654" s="4">
        <v>2</v>
      </c>
      <c r="AI654" s="4">
        <v>2</v>
      </c>
      <c r="AJ654" s="4">
        <v>5</v>
      </c>
      <c r="AK654" s="4">
        <v>5</v>
      </c>
      <c r="AL654" s="4">
        <v>1</v>
      </c>
      <c r="AM654" s="4">
        <v>1</v>
      </c>
      <c r="AN654" s="4">
        <v>0</v>
      </c>
      <c r="AO654" s="4">
        <v>0</v>
      </c>
      <c r="AP654" s="3" t="s">
        <v>61</v>
      </c>
      <c r="AQ654" s="3" t="s">
        <v>59</v>
      </c>
      <c r="AR654" s="6" t="str">
        <f t="shared" si="12"/>
        <v>HathiTrust Record</v>
      </c>
      <c r="AS654" s="6" t="str">
        <f t="shared" si="13"/>
        <v>Catalog Record</v>
      </c>
      <c r="AT654" s="6" t="str">
        <f t="shared" si="14"/>
        <v>WorldCat Record</v>
      </c>
      <c r="AU654" s="3" t="s">
        <v>7501</v>
      </c>
      <c r="AV654" s="3" t="s">
        <v>7502</v>
      </c>
      <c r="AW654" s="3" t="s">
        <v>7503</v>
      </c>
      <c r="AX654" s="3" t="s">
        <v>7503</v>
      </c>
      <c r="AY654" s="3" t="s">
        <v>7504</v>
      </c>
      <c r="AZ654" s="3" t="s">
        <v>75</v>
      </c>
      <c r="BC654" s="3" t="s">
        <v>7560</v>
      </c>
      <c r="BD654" s="3" t="s">
        <v>7561</v>
      </c>
    </row>
    <row r="655" spans="1:56" ht="44.25" customHeight="1" x14ac:dyDescent="0.25">
      <c r="A655" s="7" t="s">
        <v>61</v>
      </c>
      <c r="B655" s="2" t="s">
        <v>7494</v>
      </c>
      <c r="C655" s="2" t="s">
        <v>7495</v>
      </c>
      <c r="D655" s="2" t="s">
        <v>7496</v>
      </c>
      <c r="E655" s="3" t="s">
        <v>7562</v>
      </c>
      <c r="F655" s="3" t="s">
        <v>59</v>
      </c>
      <c r="G655" s="3" t="s">
        <v>60</v>
      </c>
      <c r="H655" s="3" t="s">
        <v>61</v>
      </c>
      <c r="I655" s="3" t="s">
        <v>61</v>
      </c>
      <c r="J655" s="3" t="s">
        <v>62</v>
      </c>
      <c r="K655" s="2" t="s">
        <v>7498</v>
      </c>
      <c r="L655" s="2" t="s">
        <v>7499</v>
      </c>
      <c r="M655" s="3" t="s">
        <v>5326</v>
      </c>
      <c r="O655" s="3" t="s">
        <v>114</v>
      </c>
      <c r="P655" s="3" t="s">
        <v>67</v>
      </c>
      <c r="R655" s="3" t="s">
        <v>68</v>
      </c>
      <c r="S655" s="4">
        <v>0</v>
      </c>
      <c r="T655" s="4">
        <v>8</v>
      </c>
      <c r="V655" s="5" t="s">
        <v>7500</v>
      </c>
      <c r="W655" s="5" t="s">
        <v>1638</v>
      </c>
      <c r="X655" s="5" t="s">
        <v>1638</v>
      </c>
      <c r="Y655" s="4">
        <v>141</v>
      </c>
      <c r="Z655" s="4">
        <v>140</v>
      </c>
      <c r="AA655" s="4">
        <v>146</v>
      </c>
      <c r="AB655" s="4">
        <v>2</v>
      </c>
      <c r="AC655" s="4">
        <v>2</v>
      </c>
      <c r="AD655" s="4">
        <v>11</v>
      </c>
      <c r="AE655" s="4">
        <v>11</v>
      </c>
      <c r="AF655" s="4">
        <v>6</v>
      </c>
      <c r="AG655" s="4">
        <v>6</v>
      </c>
      <c r="AH655" s="4">
        <v>2</v>
      </c>
      <c r="AI655" s="4">
        <v>2</v>
      </c>
      <c r="AJ655" s="4">
        <v>5</v>
      </c>
      <c r="AK655" s="4">
        <v>5</v>
      </c>
      <c r="AL655" s="4">
        <v>1</v>
      </c>
      <c r="AM655" s="4">
        <v>1</v>
      </c>
      <c r="AN655" s="4">
        <v>0</v>
      </c>
      <c r="AO655" s="4">
        <v>0</v>
      </c>
      <c r="AP655" s="3" t="s">
        <v>61</v>
      </c>
      <c r="AQ655" s="3" t="s">
        <v>59</v>
      </c>
      <c r="AR655" s="6" t="str">
        <f t="shared" si="12"/>
        <v>HathiTrust Record</v>
      </c>
      <c r="AS655" s="6" t="str">
        <f t="shared" si="13"/>
        <v>Catalog Record</v>
      </c>
      <c r="AT655" s="6" t="str">
        <f t="shared" si="14"/>
        <v>WorldCat Record</v>
      </c>
      <c r="AU655" s="3" t="s">
        <v>7501</v>
      </c>
      <c r="AV655" s="3" t="s">
        <v>7502</v>
      </c>
      <c r="AW655" s="3" t="s">
        <v>7503</v>
      </c>
      <c r="AX655" s="3" t="s">
        <v>7503</v>
      </c>
      <c r="AY655" s="3" t="s">
        <v>7504</v>
      </c>
      <c r="AZ655" s="3" t="s">
        <v>75</v>
      </c>
      <c r="BC655" s="3" t="s">
        <v>7563</v>
      </c>
      <c r="BD655" s="3" t="s">
        <v>7564</v>
      </c>
    </row>
    <row r="656" spans="1:56" ht="44.25" customHeight="1" x14ac:dyDescent="0.25">
      <c r="A656" s="7" t="s">
        <v>61</v>
      </c>
      <c r="B656" s="2" t="s">
        <v>7494</v>
      </c>
      <c r="C656" s="2" t="s">
        <v>7495</v>
      </c>
      <c r="D656" s="2" t="s">
        <v>7496</v>
      </c>
      <c r="E656" s="3" t="s">
        <v>7565</v>
      </c>
      <c r="F656" s="3" t="s">
        <v>59</v>
      </c>
      <c r="G656" s="3" t="s">
        <v>60</v>
      </c>
      <c r="H656" s="3" t="s">
        <v>61</v>
      </c>
      <c r="I656" s="3" t="s">
        <v>61</v>
      </c>
      <c r="J656" s="3" t="s">
        <v>62</v>
      </c>
      <c r="K656" s="2" t="s">
        <v>7498</v>
      </c>
      <c r="L656" s="2" t="s">
        <v>7499</v>
      </c>
      <c r="M656" s="3" t="s">
        <v>5326</v>
      </c>
      <c r="O656" s="3" t="s">
        <v>114</v>
      </c>
      <c r="P656" s="3" t="s">
        <v>67</v>
      </c>
      <c r="R656" s="3" t="s">
        <v>68</v>
      </c>
      <c r="S656" s="4">
        <v>0</v>
      </c>
      <c r="T656" s="4">
        <v>8</v>
      </c>
      <c r="V656" s="5" t="s">
        <v>7500</v>
      </c>
      <c r="W656" s="5" t="s">
        <v>1638</v>
      </c>
      <c r="X656" s="5" t="s">
        <v>1638</v>
      </c>
      <c r="Y656" s="4">
        <v>141</v>
      </c>
      <c r="Z656" s="4">
        <v>140</v>
      </c>
      <c r="AA656" s="4">
        <v>146</v>
      </c>
      <c r="AB656" s="4">
        <v>2</v>
      </c>
      <c r="AC656" s="4">
        <v>2</v>
      </c>
      <c r="AD656" s="4">
        <v>11</v>
      </c>
      <c r="AE656" s="4">
        <v>11</v>
      </c>
      <c r="AF656" s="4">
        <v>6</v>
      </c>
      <c r="AG656" s="4">
        <v>6</v>
      </c>
      <c r="AH656" s="4">
        <v>2</v>
      </c>
      <c r="AI656" s="4">
        <v>2</v>
      </c>
      <c r="AJ656" s="4">
        <v>5</v>
      </c>
      <c r="AK656" s="4">
        <v>5</v>
      </c>
      <c r="AL656" s="4">
        <v>1</v>
      </c>
      <c r="AM656" s="4">
        <v>1</v>
      </c>
      <c r="AN656" s="4">
        <v>0</v>
      </c>
      <c r="AO656" s="4">
        <v>0</v>
      </c>
      <c r="AP656" s="3" t="s">
        <v>61</v>
      </c>
      <c r="AQ656" s="3" t="s">
        <v>59</v>
      </c>
      <c r="AR656" s="6" t="str">
        <f t="shared" si="12"/>
        <v>HathiTrust Record</v>
      </c>
      <c r="AS656" s="6" t="str">
        <f t="shared" si="13"/>
        <v>Catalog Record</v>
      </c>
      <c r="AT656" s="6" t="str">
        <f t="shared" si="14"/>
        <v>WorldCat Record</v>
      </c>
      <c r="AU656" s="3" t="s">
        <v>7501</v>
      </c>
      <c r="AV656" s="3" t="s">
        <v>7502</v>
      </c>
      <c r="AW656" s="3" t="s">
        <v>7503</v>
      </c>
      <c r="AX656" s="3" t="s">
        <v>7503</v>
      </c>
      <c r="AY656" s="3" t="s">
        <v>7504</v>
      </c>
      <c r="AZ656" s="3" t="s">
        <v>75</v>
      </c>
      <c r="BC656" s="3" t="s">
        <v>7566</v>
      </c>
      <c r="BD656" s="3" t="s">
        <v>7567</v>
      </c>
    </row>
    <row r="657" spans="1:56" ht="44.25" customHeight="1" x14ac:dyDescent="0.25">
      <c r="A657" s="7" t="s">
        <v>61</v>
      </c>
      <c r="B657" s="2" t="s">
        <v>7494</v>
      </c>
      <c r="C657" s="2" t="s">
        <v>7495</v>
      </c>
      <c r="D657" s="2" t="s">
        <v>7496</v>
      </c>
      <c r="E657" s="3" t="s">
        <v>7568</v>
      </c>
      <c r="F657" s="3" t="s">
        <v>59</v>
      </c>
      <c r="G657" s="3" t="s">
        <v>60</v>
      </c>
      <c r="H657" s="3" t="s">
        <v>61</v>
      </c>
      <c r="I657" s="3" t="s">
        <v>61</v>
      </c>
      <c r="J657" s="3" t="s">
        <v>62</v>
      </c>
      <c r="K657" s="2" t="s">
        <v>7498</v>
      </c>
      <c r="L657" s="2" t="s">
        <v>7499</v>
      </c>
      <c r="M657" s="3" t="s">
        <v>5326</v>
      </c>
      <c r="O657" s="3" t="s">
        <v>114</v>
      </c>
      <c r="P657" s="3" t="s">
        <v>67</v>
      </c>
      <c r="R657" s="3" t="s">
        <v>68</v>
      </c>
      <c r="S657" s="4">
        <v>0</v>
      </c>
      <c r="T657" s="4">
        <v>8</v>
      </c>
      <c r="V657" s="5" t="s">
        <v>7500</v>
      </c>
      <c r="W657" s="5" t="s">
        <v>1638</v>
      </c>
      <c r="X657" s="5" t="s">
        <v>1638</v>
      </c>
      <c r="Y657" s="4">
        <v>141</v>
      </c>
      <c r="Z657" s="4">
        <v>140</v>
      </c>
      <c r="AA657" s="4">
        <v>146</v>
      </c>
      <c r="AB657" s="4">
        <v>2</v>
      </c>
      <c r="AC657" s="4">
        <v>2</v>
      </c>
      <c r="AD657" s="4">
        <v>11</v>
      </c>
      <c r="AE657" s="4">
        <v>11</v>
      </c>
      <c r="AF657" s="4">
        <v>6</v>
      </c>
      <c r="AG657" s="4">
        <v>6</v>
      </c>
      <c r="AH657" s="4">
        <v>2</v>
      </c>
      <c r="AI657" s="4">
        <v>2</v>
      </c>
      <c r="AJ657" s="4">
        <v>5</v>
      </c>
      <c r="AK657" s="4">
        <v>5</v>
      </c>
      <c r="AL657" s="4">
        <v>1</v>
      </c>
      <c r="AM657" s="4">
        <v>1</v>
      </c>
      <c r="AN657" s="4">
        <v>0</v>
      </c>
      <c r="AO657" s="4">
        <v>0</v>
      </c>
      <c r="AP657" s="3" t="s">
        <v>61</v>
      </c>
      <c r="AQ657" s="3" t="s">
        <v>59</v>
      </c>
      <c r="AR657" s="6" t="str">
        <f t="shared" si="12"/>
        <v>HathiTrust Record</v>
      </c>
      <c r="AS657" s="6" t="str">
        <f t="shared" si="13"/>
        <v>Catalog Record</v>
      </c>
      <c r="AT657" s="6" t="str">
        <f t="shared" si="14"/>
        <v>WorldCat Record</v>
      </c>
      <c r="AU657" s="3" t="s">
        <v>7501</v>
      </c>
      <c r="AV657" s="3" t="s">
        <v>7502</v>
      </c>
      <c r="AW657" s="3" t="s">
        <v>7503</v>
      </c>
      <c r="AX657" s="3" t="s">
        <v>7503</v>
      </c>
      <c r="AY657" s="3" t="s">
        <v>7504</v>
      </c>
      <c r="AZ657" s="3" t="s">
        <v>75</v>
      </c>
      <c r="BC657" s="3" t="s">
        <v>7569</v>
      </c>
      <c r="BD657" s="3" t="s">
        <v>7570</v>
      </c>
    </row>
    <row r="658" spans="1:56" ht="44.25" customHeight="1" x14ac:dyDescent="0.25">
      <c r="A658" s="7" t="s">
        <v>61</v>
      </c>
      <c r="B658" s="2" t="s">
        <v>7494</v>
      </c>
      <c r="C658" s="2" t="s">
        <v>7495</v>
      </c>
      <c r="D658" s="2" t="s">
        <v>7496</v>
      </c>
      <c r="E658" s="3" t="s">
        <v>7571</v>
      </c>
      <c r="F658" s="3" t="s">
        <v>59</v>
      </c>
      <c r="G658" s="3" t="s">
        <v>60</v>
      </c>
      <c r="H658" s="3" t="s">
        <v>61</v>
      </c>
      <c r="I658" s="3" t="s">
        <v>61</v>
      </c>
      <c r="J658" s="3" t="s">
        <v>62</v>
      </c>
      <c r="K658" s="2" t="s">
        <v>7498</v>
      </c>
      <c r="L658" s="2" t="s">
        <v>7499</v>
      </c>
      <c r="M658" s="3" t="s">
        <v>5326</v>
      </c>
      <c r="O658" s="3" t="s">
        <v>114</v>
      </c>
      <c r="P658" s="3" t="s">
        <v>67</v>
      </c>
      <c r="R658" s="3" t="s">
        <v>68</v>
      </c>
      <c r="S658" s="4">
        <v>0</v>
      </c>
      <c r="T658" s="4">
        <v>8</v>
      </c>
      <c r="V658" s="5" t="s">
        <v>7500</v>
      </c>
      <c r="W658" s="5" t="s">
        <v>1638</v>
      </c>
      <c r="X658" s="5" t="s">
        <v>1638</v>
      </c>
      <c r="Y658" s="4">
        <v>141</v>
      </c>
      <c r="Z658" s="4">
        <v>140</v>
      </c>
      <c r="AA658" s="4">
        <v>146</v>
      </c>
      <c r="AB658" s="4">
        <v>2</v>
      </c>
      <c r="AC658" s="4">
        <v>2</v>
      </c>
      <c r="AD658" s="4">
        <v>11</v>
      </c>
      <c r="AE658" s="4">
        <v>11</v>
      </c>
      <c r="AF658" s="4">
        <v>6</v>
      </c>
      <c r="AG658" s="4">
        <v>6</v>
      </c>
      <c r="AH658" s="4">
        <v>2</v>
      </c>
      <c r="AI658" s="4">
        <v>2</v>
      </c>
      <c r="AJ658" s="4">
        <v>5</v>
      </c>
      <c r="AK658" s="4">
        <v>5</v>
      </c>
      <c r="AL658" s="4">
        <v>1</v>
      </c>
      <c r="AM658" s="4">
        <v>1</v>
      </c>
      <c r="AN658" s="4">
        <v>0</v>
      </c>
      <c r="AO658" s="4">
        <v>0</v>
      </c>
      <c r="AP658" s="3" t="s">
        <v>61</v>
      </c>
      <c r="AQ658" s="3" t="s">
        <v>59</v>
      </c>
      <c r="AR658" s="6" t="str">
        <f t="shared" si="12"/>
        <v>HathiTrust Record</v>
      </c>
      <c r="AS658" s="6" t="str">
        <f t="shared" si="13"/>
        <v>Catalog Record</v>
      </c>
      <c r="AT658" s="6" t="str">
        <f t="shared" si="14"/>
        <v>WorldCat Record</v>
      </c>
      <c r="AU658" s="3" t="s">
        <v>7501</v>
      </c>
      <c r="AV658" s="3" t="s">
        <v>7502</v>
      </c>
      <c r="AW658" s="3" t="s">
        <v>7503</v>
      </c>
      <c r="AX658" s="3" t="s">
        <v>7503</v>
      </c>
      <c r="AY658" s="3" t="s">
        <v>7504</v>
      </c>
      <c r="AZ658" s="3" t="s">
        <v>75</v>
      </c>
      <c r="BC658" s="3" t="s">
        <v>7572</v>
      </c>
      <c r="BD658" s="3" t="s">
        <v>7573</v>
      </c>
    </row>
    <row r="659" spans="1:56" ht="44.25" customHeight="1" x14ac:dyDescent="0.25">
      <c r="A659" s="7" t="s">
        <v>61</v>
      </c>
      <c r="B659" s="2" t="s">
        <v>7494</v>
      </c>
      <c r="C659" s="2" t="s">
        <v>7495</v>
      </c>
      <c r="D659" s="2" t="s">
        <v>7496</v>
      </c>
      <c r="E659" s="3" t="s">
        <v>7574</v>
      </c>
      <c r="F659" s="3" t="s">
        <v>59</v>
      </c>
      <c r="G659" s="3" t="s">
        <v>60</v>
      </c>
      <c r="H659" s="3" t="s">
        <v>61</v>
      </c>
      <c r="I659" s="3" t="s">
        <v>61</v>
      </c>
      <c r="J659" s="3" t="s">
        <v>62</v>
      </c>
      <c r="K659" s="2" t="s">
        <v>7498</v>
      </c>
      <c r="L659" s="2" t="s">
        <v>7499</v>
      </c>
      <c r="M659" s="3" t="s">
        <v>5326</v>
      </c>
      <c r="O659" s="3" t="s">
        <v>114</v>
      </c>
      <c r="P659" s="3" t="s">
        <v>67</v>
      </c>
      <c r="R659" s="3" t="s">
        <v>68</v>
      </c>
      <c r="S659" s="4">
        <v>0</v>
      </c>
      <c r="T659" s="4">
        <v>8</v>
      </c>
      <c r="V659" s="5" t="s">
        <v>7500</v>
      </c>
      <c r="W659" s="5" t="s">
        <v>1638</v>
      </c>
      <c r="X659" s="5" t="s">
        <v>1638</v>
      </c>
      <c r="Y659" s="4">
        <v>141</v>
      </c>
      <c r="Z659" s="4">
        <v>140</v>
      </c>
      <c r="AA659" s="4">
        <v>146</v>
      </c>
      <c r="AB659" s="4">
        <v>2</v>
      </c>
      <c r="AC659" s="4">
        <v>2</v>
      </c>
      <c r="AD659" s="4">
        <v>11</v>
      </c>
      <c r="AE659" s="4">
        <v>11</v>
      </c>
      <c r="AF659" s="4">
        <v>6</v>
      </c>
      <c r="AG659" s="4">
        <v>6</v>
      </c>
      <c r="AH659" s="4">
        <v>2</v>
      </c>
      <c r="AI659" s="4">
        <v>2</v>
      </c>
      <c r="AJ659" s="4">
        <v>5</v>
      </c>
      <c r="AK659" s="4">
        <v>5</v>
      </c>
      <c r="AL659" s="4">
        <v>1</v>
      </c>
      <c r="AM659" s="4">
        <v>1</v>
      </c>
      <c r="AN659" s="4">
        <v>0</v>
      </c>
      <c r="AO659" s="4">
        <v>0</v>
      </c>
      <c r="AP659" s="3" t="s">
        <v>61</v>
      </c>
      <c r="AQ659" s="3" t="s">
        <v>59</v>
      </c>
      <c r="AR659" s="6" t="str">
        <f t="shared" si="12"/>
        <v>HathiTrust Record</v>
      </c>
      <c r="AS659" s="6" t="str">
        <f t="shared" si="13"/>
        <v>Catalog Record</v>
      </c>
      <c r="AT659" s="6" t="str">
        <f t="shared" si="14"/>
        <v>WorldCat Record</v>
      </c>
      <c r="AU659" s="3" t="s">
        <v>7501</v>
      </c>
      <c r="AV659" s="3" t="s">
        <v>7502</v>
      </c>
      <c r="AW659" s="3" t="s">
        <v>7503</v>
      </c>
      <c r="AX659" s="3" t="s">
        <v>7503</v>
      </c>
      <c r="AY659" s="3" t="s">
        <v>7504</v>
      </c>
      <c r="AZ659" s="3" t="s">
        <v>75</v>
      </c>
      <c r="BC659" s="3" t="s">
        <v>7575</v>
      </c>
      <c r="BD659" s="3" t="s">
        <v>7576</v>
      </c>
    </row>
    <row r="660" spans="1:56" ht="44.25" customHeight="1" x14ac:dyDescent="0.25">
      <c r="A660" s="7" t="s">
        <v>61</v>
      </c>
      <c r="B660" s="2" t="s">
        <v>7494</v>
      </c>
      <c r="C660" s="2" t="s">
        <v>7495</v>
      </c>
      <c r="D660" s="2" t="s">
        <v>7496</v>
      </c>
      <c r="E660" s="3" t="s">
        <v>7577</v>
      </c>
      <c r="F660" s="3" t="s">
        <v>59</v>
      </c>
      <c r="G660" s="3" t="s">
        <v>60</v>
      </c>
      <c r="H660" s="3" t="s">
        <v>61</v>
      </c>
      <c r="I660" s="3" t="s">
        <v>61</v>
      </c>
      <c r="J660" s="3" t="s">
        <v>62</v>
      </c>
      <c r="K660" s="2" t="s">
        <v>7498</v>
      </c>
      <c r="L660" s="2" t="s">
        <v>7499</v>
      </c>
      <c r="M660" s="3" t="s">
        <v>5326</v>
      </c>
      <c r="O660" s="3" t="s">
        <v>114</v>
      </c>
      <c r="P660" s="3" t="s">
        <v>67</v>
      </c>
      <c r="R660" s="3" t="s">
        <v>68</v>
      </c>
      <c r="S660" s="4">
        <v>0</v>
      </c>
      <c r="T660" s="4">
        <v>8</v>
      </c>
      <c r="V660" s="5" t="s">
        <v>7500</v>
      </c>
      <c r="W660" s="5" t="s">
        <v>1638</v>
      </c>
      <c r="X660" s="5" t="s">
        <v>1638</v>
      </c>
      <c r="Y660" s="4">
        <v>141</v>
      </c>
      <c r="Z660" s="4">
        <v>140</v>
      </c>
      <c r="AA660" s="4">
        <v>146</v>
      </c>
      <c r="AB660" s="4">
        <v>2</v>
      </c>
      <c r="AC660" s="4">
        <v>2</v>
      </c>
      <c r="AD660" s="4">
        <v>11</v>
      </c>
      <c r="AE660" s="4">
        <v>11</v>
      </c>
      <c r="AF660" s="4">
        <v>6</v>
      </c>
      <c r="AG660" s="4">
        <v>6</v>
      </c>
      <c r="AH660" s="4">
        <v>2</v>
      </c>
      <c r="AI660" s="4">
        <v>2</v>
      </c>
      <c r="AJ660" s="4">
        <v>5</v>
      </c>
      <c r="AK660" s="4">
        <v>5</v>
      </c>
      <c r="AL660" s="4">
        <v>1</v>
      </c>
      <c r="AM660" s="4">
        <v>1</v>
      </c>
      <c r="AN660" s="4">
        <v>0</v>
      </c>
      <c r="AO660" s="4">
        <v>0</v>
      </c>
      <c r="AP660" s="3" t="s">
        <v>61</v>
      </c>
      <c r="AQ660" s="3" t="s">
        <v>59</v>
      </c>
      <c r="AR660" s="6" t="str">
        <f t="shared" si="12"/>
        <v>HathiTrust Record</v>
      </c>
      <c r="AS660" s="6" t="str">
        <f t="shared" si="13"/>
        <v>Catalog Record</v>
      </c>
      <c r="AT660" s="6" t="str">
        <f t="shared" si="14"/>
        <v>WorldCat Record</v>
      </c>
      <c r="AU660" s="3" t="s">
        <v>7501</v>
      </c>
      <c r="AV660" s="3" t="s">
        <v>7502</v>
      </c>
      <c r="AW660" s="3" t="s">
        <v>7503</v>
      </c>
      <c r="AX660" s="3" t="s">
        <v>7503</v>
      </c>
      <c r="AY660" s="3" t="s">
        <v>7504</v>
      </c>
      <c r="AZ660" s="3" t="s">
        <v>75</v>
      </c>
      <c r="BC660" s="3" t="s">
        <v>7578</v>
      </c>
      <c r="BD660" s="3" t="s">
        <v>7579</v>
      </c>
    </row>
    <row r="661" spans="1:56" ht="44.25" customHeight="1" x14ac:dyDescent="0.25">
      <c r="A661" s="7" t="s">
        <v>61</v>
      </c>
      <c r="B661" s="2" t="s">
        <v>7494</v>
      </c>
      <c r="C661" s="2" t="s">
        <v>7495</v>
      </c>
      <c r="D661" s="2" t="s">
        <v>7496</v>
      </c>
      <c r="E661" s="3" t="s">
        <v>7580</v>
      </c>
      <c r="F661" s="3" t="s">
        <v>59</v>
      </c>
      <c r="G661" s="3" t="s">
        <v>60</v>
      </c>
      <c r="H661" s="3" t="s">
        <v>61</v>
      </c>
      <c r="I661" s="3" t="s">
        <v>61</v>
      </c>
      <c r="J661" s="3" t="s">
        <v>62</v>
      </c>
      <c r="K661" s="2" t="s">
        <v>7498</v>
      </c>
      <c r="L661" s="2" t="s">
        <v>7499</v>
      </c>
      <c r="M661" s="3" t="s">
        <v>5326</v>
      </c>
      <c r="O661" s="3" t="s">
        <v>114</v>
      </c>
      <c r="P661" s="3" t="s">
        <v>67</v>
      </c>
      <c r="R661" s="3" t="s">
        <v>68</v>
      </c>
      <c r="S661" s="4">
        <v>0</v>
      </c>
      <c r="T661" s="4">
        <v>8</v>
      </c>
      <c r="V661" s="5" t="s">
        <v>7500</v>
      </c>
      <c r="W661" s="5" t="s">
        <v>1638</v>
      </c>
      <c r="X661" s="5" t="s">
        <v>1638</v>
      </c>
      <c r="Y661" s="4">
        <v>141</v>
      </c>
      <c r="Z661" s="4">
        <v>140</v>
      </c>
      <c r="AA661" s="4">
        <v>146</v>
      </c>
      <c r="AB661" s="4">
        <v>2</v>
      </c>
      <c r="AC661" s="4">
        <v>2</v>
      </c>
      <c r="AD661" s="4">
        <v>11</v>
      </c>
      <c r="AE661" s="4">
        <v>11</v>
      </c>
      <c r="AF661" s="4">
        <v>6</v>
      </c>
      <c r="AG661" s="4">
        <v>6</v>
      </c>
      <c r="AH661" s="4">
        <v>2</v>
      </c>
      <c r="AI661" s="4">
        <v>2</v>
      </c>
      <c r="AJ661" s="4">
        <v>5</v>
      </c>
      <c r="AK661" s="4">
        <v>5</v>
      </c>
      <c r="AL661" s="4">
        <v>1</v>
      </c>
      <c r="AM661" s="4">
        <v>1</v>
      </c>
      <c r="AN661" s="4">
        <v>0</v>
      </c>
      <c r="AO661" s="4">
        <v>0</v>
      </c>
      <c r="AP661" s="3" t="s">
        <v>61</v>
      </c>
      <c r="AQ661" s="3" t="s">
        <v>59</v>
      </c>
      <c r="AR661" s="6" t="str">
        <f t="shared" si="12"/>
        <v>HathiTrust Record</v>
      </c>
      <c r="AS661" s="6" t="str">
        <f t="shared" si="13"/>
        <v>Catalog Record</v>
      </c>
      <c r="AT661" s="6" t="str">
        <f t="shared" si="14"/>
        <v>WorldCat Record</v>
      </c>
      <c r="AU661" s="3" t="s">
        <v>7501</v>
      </c>
      <c r="AV661" s="3" t="s">
        <v>7502</v>
      </c>
      <c r="AW661" s="3" t="s">
        <v>7503</v>
      </c>
      <c r="AX661" s="3" t="s">
        <v>7503</v>
      </c>
      <c r="AY661" s="3" t="s">
        <v>7504</v>
      </c>
      <c r="AZ661" s="3" t="s">
        <v>75</v>
      </c>
      <c r="BC661" s="3" t="s">
        <v>7581</v>
      </c>
      <c r="BD661" s="3" t="s">
        <v>7582</v>
      </c>
    </row>
    <row r="662" spans="1:56" ht="44.25" customHeight="1" x14ac:dyDescent="0.25">
      <c r="A662" s="7" t="s">
        <v>61</v>
      </c>
      <c r="B662" s="2" t="s">
        <v>7494</v>
      </c>
      <c r="C662" s="2" t="s">
        <v>7495</v>
      </c>
      <c r="D662" s="2" t="s">
        <v>7496</v>
      </c>
      <c r="E662" s="3" t="s">
        <v>7583</v>
      </c>
      <c r="F662" s="3" t="s">
        <v>59</v>
      </c>
      <c r="G662" s="3" t="s">
        <v>60</v>
      </c>
      <c r="H662" s="3" t="s">
        <v>61</v>
      </c>
      <c r="I662" s="3" t="s">
        <v>61</v>
      </c>
      <c r="J662" s="3" t="s">
        <v>62</v>
      </c>
      <c r="K662" s="2" t="s">
        <v>7498</v>
      </c>
      <c r="L662" s="2" t="s">
        <v>7499</v>
      </c>
      <c r="M662" s="3" t="s">
        <v>5326</v>
      </c>
      <c r="O662" s="3" t="s">
        <v>114</v>
      </c>
      <c r="P662" s="3" t="s">
        <v>67</v>
      </c>
      <c r="R662" s="3" t="s">
        <v>68</v>
      </c>
      <c r="S662" s="4">
        <v>0</v>
      </c>
      <c r="T662" s="4">
        <v>8</v>
      </c>
      <c r="V662" s="5" t="s">
        <v>7500</v>
      </c>
      <c r="W662" s="5" t="s">
        <v>1638</v>
      </c>
      <c r="X662" s="5" t="s">
        <v>1638</v>
      </c>
      <c r="Y662" s="4">
        <v>141</v>
      </c>
      <c r="Z662" s="4">
        <v>140</v>
      </c>
      <c r="AA662" s="4">
        <v>146</v>
      </c>
      <c r="AB662" s="4">
        <v>2</v>
      </c>
      <c r="AC662" s="4">
        <v>2</v>
      </c>
      <c r="AD662" s="4">
        <v>11</v>
      </c>
      <c r="AE662" s="4">
        <v>11</v>
      </c>
      <c r="AF662" s="4">
        <v>6</v>
      </c>
      <c r="AG662" s="4">
        <v>6</v>
      </c>
      <c r="AH662" s="4">
        <v>2</v>
      </c>
      <c r="AI662" s="4">
        <v>2</v>
      </c>
      <c r="AJ662" s="4">
        <v>5</v>
      </c>
      <c r="AK662" s="4">
        <v>5</v>
      </c>
      <c r="AL662" s="4">
        <v>1</v>
      </c>
      <c r="AM662" s="4">
        <v>1</v>
      </c>
      <c r="AN662" s="4">
        <v>0</v>
      </c>
      <c r="AO662" s="4">
        <v>0</v>
      </c>
      <c r="AP662" s="3" t="s">
        <v>61</v>
      </c>
      <c r="AQ662" s="3" t="s">
        <v>59</v>
      </c>
      <c r="AR662" s="6" t="str">
        <f t="shared" si="12"/>
        <v>HathiTrust Record</v>
      </c>
      <c r="AS662" s="6" t="str">
        <f t="shared" si="13"/>
        <v>Catalog Record</v>
      </c>
      <c r="AT662" s="6" t="str">
        <f t="shared" si="14"/>
        <v>WorldCat Record</v>
      </c>
      <c r="AU662" s="3" t="s">
        <v>7501</v>
      </c>
      <c r="AV662" s="3" t="s">
        <v>7502</v>
      </c>
      <c r="AW662" s="3" t="s">
        <v>7503</v>
      </c>
      <c r="AX662" s="3" t="s">
        <v>7503</v>
      </c>
      <c r="AY662" s="3" t="s">
        <v>7504</v>
      </c>
      <c r="AZ662" s="3" t="s">
        <v>75</v>
      </c>
      <c r="BC662" s="3" t="s">
        <v>7584</v>
      </c>
      <c r="BD662" s="3" t="s">
        <v>7585</v>
      </c>
    </row>
    <row r="663" spans="1:56" ht="44.25" customHeight="1" x14ac:dyDescent="0.25">
      <c r="A663" s="7" t="s">
        <v>61</v>
      </c>
      <c r="B663" s="2" t="s">
        <v>7494</v>
      </c>
      <c r="C663" s="2" t="s">
        <v>7495</v>
      </c>
      <c r="D663" s="2" t="s">
        <v>7496</v>
      </c>
      <c r="E663" s="3" t="s">
        <v>93</v>
      </c>
      <c r="F663" s="3" t="s">
        <v>59</v>
      </c>
      <c r="G663" s="3" t="s">
        <v>60</v>
      </c>
      <c r="H663" s="3" t="s">
        <v>61</v>
      </c>
      <c r="I663" s="3" t="s">
        <v>61</v>
      </c>
      <c r="J663" s="3" t="s">
        <v>62</v>
      </c>
      <c r="K663" s="2" t="s">
        <v>7498</v>
      </c>
      <c r="L663" s="2" t="s">
        <v>7499</v>
      </c>
      <c r="M663" s="3" t="s">
        <v>5326</v>
      </c>
      <c r="O663" s="3" t="s">
        <v>114</v>
      </c>
      <c r="P663" s="3" t="s">
        <v>67</v>
      </c>
      <c r="R663" s="3" t="s">
        <v>68</v>
      </c>
      <c r="S663" s="4">
        <v>0</v>
      </c>
      <c r="T663" s="4">
        <v>8</v>
      </c>
      <c r="V663" s="5" t="s">
        <v>7500</v>
      </c>
      <c r="W663" s="5" t="s">
        <v>1638</v>
      </c>
      <c r="X663" s="5" t="s">
        <v>1638</v>
      </c>
      <c r="Y663" s="4">
        <v>141</v>
      </c>
      <c r="Z663" s="4">
        <v>140</v>
      </c>
      <c r="AA663" s="4">
        <v>146</v>
      </c>
      <c r="AB663" s="4">
        <v>2</v>
      </c>
      <c r="AC663" s="4">
        <v>2</v>
      </c>
      <c r="AD663" s="4">
        <v>11</v>
      </c>
      <c r="AE663" s="4">
        <v>11</v>
      </c>
      <c r="AF663" s="4">
        <v>6</v>
      </c>
      <c r="AG663" s="4">
        <v>6</v>
      </c>
      <c r="AH663" s="4">
        <v>2</v>
      </c>
      <c r="AI663" s="4">
        <v>2</v>
      </c>
      <c r="AJ663" s="4">
        <v>5</v>
      </c>
      <c r="AK663" s="4">
        <v>5</v>
      </c>
      <c r="AL663" s="4">
        <v>1</v>
      </c>
      <c r="AM663" s="4">
        <v>1</v>
      </c>
      <c r="AN663" s="4">
        <v>0</v>
      </c>
      <c r="AO663" s="4">
        <v>0</v>
      </c>
      <c r="AP663" s="3" t="s">
        <v>61</v>
      </c>
      <c r="AQ663" s="3" t="s">
        <v>59</v>
      </c>
      <c r="AR663" s="6" t="str">
        <f t="shared" si="12"/>
        <v>HathiTrust Record</v>
      </c>
      <c r="AS663" s="6" t="str">
        <f t="shared" si="13"/>
        <v>Catalog Record</v>
      </c>
      <c r="AT663" s="6" t="str">
        <f t="shared" si="14"/>
        <v>WorldCat Record</v>
      </c>
      <c r="AU663" s="3" t="s">
        <v>7501</v>
      </c>
      <c r="AV663" s="3" t="s">
        <v>7502</v>
      </c>
      <c r="AW663" s="3" t="s">
        <v>7503</v>
      </c>
      <c r="AX663" s="3" t="s">
        <v>7503</v>
      </c>
      <c r="AY663" s="3" t="s">
        <v>7504</v>
      </c>
      <c r="AZ663" s="3" t="s">
        <v>75</v>
      </c>
      <c r="BC663" s="3" t="s">
        <v>7586</v>
      </c>
      <c r="BD663" s="3" t="s">
        <v>7587</v>
      </c>
    </row>
    <row r="664" spans="1:56" ht="44.25" customHeight="1" x14ac:dyDescent="0.25">
      <c r="A664" s="7" t="s">
        <v>61</v>
      </c>
      <c r="B664" s="2" t="s">
        <v>7494</v>
      </c>
      <c r="C664" s="2" t="s">
        <v>7495</v>
      </c>
      <c r="D664" s="2" t="s">
        <v>7496</v>
      </c>
      <c r="E664" s="3" t="s">
        <v>7588</v>
      </c>
      <c r="F664" s="3" t="s">
        <v>59</v>
      </c>
      <c r="G664" s="3" t="s">
        <v>60</v>
      </c>
      <c r="H664" s="3" t="s">
        <v>61</v>
      </c>
      <c r="I664" s="3" t="s">
        <v>61</v>
      </c>
      <c r="J664" s="3" t="s">
        <v>62</v>
      </c>
      <c r="K664" s="2" t="s">
        <v>7498</v>
      </c>
      <c r="L664" s="2" t="s">
        <v>7499</v>
      </c>
      <c r="M664" s="3" t="s">
        <v>5326</v>
      </c>
      <c r="O664" s="3" t="s">
        <v>114</v>
      </c>
      <c r="P664" s="3" t="s">
        <v>67</v>
      </c>
      <c r="R664" s="3" t="s">
        <v>68</v>
      </c>
      <c r="S664" s="4">
        <v>0</v>
      </c>
      <c r="T664" s="4">
        <v>8</v>
      </c>
      <c r="V664" s="5" t="s">
        <v>7500</v>
      </c>
      <c r="W664" s="5" t="s">
        <v>1638</v>
      </c>
      <c r="X664" s="5" t="s">
        <v>1638</v>
      </c>
      <c r="Y664" s="4">
        <v>141</v>
      </c>
      <c r="Z664" s="4">
        <v>140</v>
      </c>
      <c r="AA664" s="4">
        <v>146</v>
      </c>
      <c r="AB664" s="4">
        <v>2</v>
      </c>
      <c r="AC664" s="4">
        <v>2</v>
      </c>
      <c r="AD664" s="4">
        <v>11</v>
      </c>
      <c r="AE664" s="4">
        <v>11</v>
      </c>
      <c r="AF664" s="4">
        <v>6</v>
      </c>
      <c r="AG664" s="4">
        <v>6</v>
      </c>
      <c r="AH664" s="4">
        <v>2</v>
      </c>
      <c r="AI664" s="4">
        <v>2</v>
      </c>
      <c r="AJ664" s="4">
        <v>5</v>
      </c>
      <c r="AK664" s="4">
        <v>5</v>
      </c>
      <c r="AL664" s="4">
        <v>1</v>
      </c>
      <c r="AM664" s="4">
        <v>1</v>
      </c>
      <c r="AN664" s="4">
        <v>0</v>
      </c>
      <c r="AO664" s="4">
        <v>0</v>
      </c>
      <c r="AP664" s="3" t="s">
        <v>61</v>
      </c>
      <c r="AQ664" s="3" t="s">
        <v>59</v>
      </c>
      <c r="AR664" s="6" t="str">
        <f t="shared" si="12"/>
        <v>HathiTrust Record</v>
      </c>
      <c r="AS664" s="6" t="str">
        <f t="shared" si="13"/>
        <v>Catalog Record</v>
      </c>
      <c r="AT664" s="6" t="str">
        <f t="shared" si="14"/>
        <v>WorldCat Record</v>
      </c>
      <c r="AU664" s="3" t="s">
        <v>7501</v>
      </c>
      <c r="AV664" s="3" t="s">
        <v>7502</v>
      </c>
      <c r="AW664" s="3" t="s">
        <v>7503</v>
      </c>
      <c r="AX664" s="3" t="s">
        <v>7503</v>
      </c>
      <c r="AY664" s="3" t="s">
        <v>7504</v>
      </c>
      <c r="AZ664" s="3" t="s">
        <v>75</v>
      </c>
      <c r="BC664" s="3" t="s">
        <v>7589</v>
      </c>
      <c r="BD664" s="3" t="s">
        <v>7590</v>
      </c>
    </row>
    <row r="665" spans="1:56" ht="44.25" customHeight="1" x14ac:dyDescent="0.25">
      <c r="A665" s="7" t="s">
        <v>61</v>
      </c>
      <c r="B665" s="2" t="s">
        <v>7494</v>
      </c>
      <c r="C665" s="2" t="s">
        <v>7495</v>
      </c>
      <c r="D665" s="2" t="s">
        <v>7496</v>
      </c>
      <c r="E665" s="3" t="s">
        <v>7591</v>
      </c>
      <c r="F665" s="3" t="s">
        <v>59</v>
      </c>
      <c r="G665" s="3" t="s">
        <v>60</v>
      </c>
      <c r="H665" s="3" t="s">
        <v>61</v>
      </c>
      <c r="I665" s="3" t="s">
        <v>61</v>
      </c>
      <c r="J665" s="3" t="s">
        <v>62</v>
      </c>
      <c r="K665" s="2" t="s">
        <v>7498</v>
      </c>
      <c r="L665" s="2" t="s">
        <v>7499</v>
      </c>
      <c r="M665" s="3" t="s">
        <v>5326</v>
      </c>
      <c r="O665" s="3" t="s">
        <v>114</v>
      </c>
      <c r="P665" s="3" t="s">
        <v>67</v>
      </c>
      <c r="R665" s="3" t="s">
        <v>68</v>
      </c>
      <c r="S665" s="4">
        <v>0</v>
      </c>
      <c r="T665" s="4">
        <v>8</v>
      </c>
      <c r="V665" s="5" t="s">
        <v>7500</v>
      </c>
      <c r="W665" s="5" t="s">
        <v>1638</v>
      </c>
      <c r="X665" s="5" t="s">
        <v>1638</v>
      </c>
      <c r="Y665" s="4">
        <v>141</v>
      </c>
      <c r="Z665" s="4">
        <v>140</v>
      </c>
      <c r="AA665" s="4">
        <v>146</v>
      </c>
      <c r="AB665" s="4">
        <v>2</v>
      </c>
      <c r="AC665" s="4">
        <v>2</v>
      </c>
      <c r="AD665" s="4">
        <v>11</v>
      </c>
      <c r="AE665" s="4">
        <v>11</v>
      </c>
      <c r="AF665" s="4">
        <v>6</v>
      </c>
      <c r="AG665" s="4">
        <v>6</v>
      </c>
      <c r="AH665" s="4">
        <v>2</v>
      </c>
      <c r="AI665" s="4">
        <v>2</v>
      </c>
      <c r="AJ665" s="4">
        <v>5</v>
      </c>
      <c r="AK665" s="4">
        <v>5</v>
      </c>
      <c r="AL665" s="4">
        <v>1</v>
      </c>
      <c r="AM665" s="4">
        <v>1</v>
      </c>
      <c r="AN665" s="4">
        <v>0</v>
      </c>
      <c r="AO665" s="4">
        <v>0</v>
      </c>
      <c r="AP665" s="3" t="s">
        <v>61</v>
      </c>
      <c r="AQ665" s="3" t="s">
        <v>59</v>
      </c>
      <c r="AR665" s="6" t="str">
        <f t="shared" si="12"/>
        <v>HathiTrust Record</v>
      </c>
      <c r="AS665" s="6" t="str">
        <f t="shared" si="13"/>
        <v>Catalog Record</v>
      </c>
      <c r="AT665" s="6" t="str">
        <f t="shared" si="14"/>
        <v>WorldCat Record</v>
      </c>
      <c r="AU665" s="3" t="s">
        <v>7501</v>
      </c>
      <c r="AV665" s="3" t="s">
        <v>7502</v>
      </c>
      <c r="AW665" s="3" t="s">
        <v>7503</v>
      </c>
      <c r="AX665" s="3" t="s">
        <v>7503</v>
      </c>
      <c r="AY665" s="3" t="s">
        <v>7504</v>
      </c>
      <c r="AZ665" s="3" t="s">
        <v>75</v>
      </c>
      <c r="BC665" s="3" t="s">
        <v>7592</v>
      </c>
      <c r="BD665" s="3" t="s">
        <v>7593</v>
      </c>
    </row>
    <row r="666" spans="1:56" ht="44.25" customHeight="1" x14ac:dyDescent="0.25">
      <c r="A666" s="7" t="s">
        <v>61</v>
      </c>
      <c r="B666" s="2" t="s">
        <v>7494</v>
      </c>
      <c r="C666" s="2" t="s">
        <v>7495</v>
      </c>
      <c r="D666" s="2" t="s">
        <v>7496</v>
      </c>
      <c r="E666" s="3" t="s">
        <v>87</v>
      </c>
      <c r="F666" s="3" t="s">
        <v>59</v>
      </c>
      <c r="G666" s="3" t="s">
        <v>60</v>
      </c>
      <c r="H666" s="3" t="s">
        <v>61</v>
      </c>
      <c r="I666" s="3" t="s">
        <v>61</v>
      </c>
      <c r="J666" s="3" t="s">
        <v>62</v>
      </c>
      <c r="K666" s="2" t="s">
        <v>7498</v>
      </c>
      <c r="L666" s="2" t="s">
        <v>7499</v>
      </c>
      <c r="M666" s="3" t="s">
        <v>5326</v>
      </c>
      <c r="O666" s="3" t="s">
        <v>114</v>
      </c>
      <c r="P666" s="3" t="s">
        <v>67</v>
      </c>
      <c r="R666" s="3" t="s">
        <v>68</v>
      </c>
      <c r="S666" s="4">
        <v>0</v>
      </c>
      <c r="T666" s="4">
        <v>8</v>
      </c>
      <c r="V666" s="5" t="s">
        <v>7500</v>
      </c>
      <c r="W666" s="5" t="s">
        <v>1638</v>
      </c>
      <c r="X666" s="5" t="s">
        <v>1638</v>
      </c>
      <c r="Y666" s="4">
        <v>141</v>
      </c>
      <c r="Z666" s="4">
        <v>140</v>
      </c>
      <c r="AA666" s="4">
        <v>146</v>
      </c>
      <c r="AB666" s="4">
        <v>2</v>
      </c>
      <c r="AC666" s="4">
        <v>2</v>
      </c>
      <c r="AD666" s="4">
        <v>11</v>
      </c>
      <c r="AE666" s="4">
        <v>11</v>
      </c>
      <c r="AF666" s="4">
        <v>6</v>
      </c>
      <c r="AG666" s="4">
        <v>6</v>
      </c>
      <c r="AH666" s="4">
        <v>2</v>
      </c>
      <c r="AI666" s="4">
        <v>2</v>
      </c>
      <c r="AJ666" s="4">
        <v>5</v>
      </c>
      <c r="AK666" s="4">
        <v>5</v>
      </c>
      <c r="AL666" s="4">
        <v>1</v>
      </c>
      <c r="AM666" s="4">
        <v>1</v>
      </c>
      <c r="AN666" s="4">
        <v>0</v>
      </c>
      <c r="AO666" s="4">
        <v>0</v>
      </c>
      <c r="AP666" s="3" t="s">
        <v>61</v>
      </c>
      <c r="AQ666" s="3" t="s">
        <v>59</v>
      </c>
      <c r="AR666" s="6" t="str">
        <f t="shared" si="12"/>
        <v>HathiTrust Record</v>
      </c>
      <c r="AS666" s="6" t="str">
        <f t="shared" si="13"/>
        <v>Catalog Record</v>
      </c>
      <c r="AT666" s="6" t="str">
        <f t="shared" si="14"/>
        <v>WorldCat Record</v>
      </c>
      <c r="AU666" s="3" t="s">
        <v>7501</v>
      </c>
      <c r="AV666" s="3" t="s">
        <v>7502</v>
      </c>
      <c r="AW666" s="3" t="s">
        <v>7503</v>
      </c>
      <c r="AX666" s="3" t="s">
        <v>7503</v>
      </c>
      <c r="AY666" s="3" t="s">
        <v>7504</v>
      </c>
      <c r="AZ666" s="3" t="s">
        <v>75</v>
      </c>
      <c r="BC666" s="3" t="s">
        <v>7594</v>
      </c>
      <c r="BD666" s="3" t="s">
        <v>7595</v>
      </c>
    </row>
    <row r="667" spans="1:56" ht="44.25" customHeight="1" x14ac:dyDescent="0.25">
      <c r="A667" s="7" t="s">
        <v>61</v>
      </c>
      <c r="B667" s="2" t="s">
        <v>7494</v>
      </c>
      <c r="C667" s="2" t="s">
        <v>7495</v>
      </c>
      <c r="D667" s="2" t="s">
        <v>7496</v>
      </c>
      <c r="E667" s="3" t="s">
        <v>7596</v>
      </c>
      <c r="F667" s="3" t="s">
        <v>59</v>
      </c>
      <c r="G667" s="3" t="s">
        <v>60</v>
      </c>
      <c r="H667" s="3" t="s">
        <v>61</v>
      </c>
      <c r="I667" s="3" t="s">
        <v>61</v>
      </c>
      <c r="J667" s="3" t="s">
        <v>62</v>
      </c>
      <c r="K667" s="2" t="s">
        <v>7498</v>
      </c>
      <c r="L667" s="2" t="s">
        <v>7499</v>
      </c>
      <c r="M667" s="3" t="s">
        <v>5326</v>
      </c>
      <c r="O667" s="3" t="s">
        <v>114</v>
      </c>
      <c r="P667" s="3" t="s">
        <v>67</v>
      </c>
      <c r="R667" s="3" t="s">
        <v>68</v>
      </c>
      <c r="S667" s="4">
        <v>0</v>
      </c>
      <c r="T667" s="4">
        <v>8</v>
      </c>
      <c r="V667" s="5" t="s">
        <v>7500</v>
      </c>
      <c r="W667" s="5" t="s">
        <v>1638</v>
      </c>
      <c r="X667" s="5" t="s">
        <v>1638</v>
      </c>
      <c r="Y667" s="4">
        <v>141</v>
      </c>
      <c r="Z667" s="4">
        <v>140</v>
      </c>
      <c r="AA667" s="4">
        <v>146</v>
      </c>
      <c r="AB667" s="4">
        <v>2</v>
      </c>
      <c r="AC667" s="4">
        <v>2</v>
      </c>
      <c r="AD667" s="4">
        <v>11</v>
      </c>
      <c r="AE667" s="4">
        <v>11</v>
      </c>
      <c r="AF667" s="4">
        <v>6</v>
      </c>
      <c r="AG667" s="4">
        <v>6</v>
      </c>
      <c r="AH667" s="4">
        <v>2</v>
      </c>
      <c r="AI667" s="4">
        <v>2</v>
      </c>
      <c r="AJ667" s="4">
        <v>5</v>
      </c>
      <c r="AK667" s="4">
        <v>5</v>
      </c>
      <c r="AL667" s="4">
        <v>1</v>
      </c>
      <c r="AM667" s="4">
        <v>1</v>
      </c>
      <c r="AN667" s="4">
        <v>0</v>
      </c>
      <c r="AO667" s="4">
        <v>0</v>
      </c>
      <c r="AP667" s="3" t="s">
        <v>61</v>
      </c>
      <c r="AQ667" s="3" t="s">
        <v>59</v>
      </c>
      <c r="AR667" s="6" t="str">
        <f t="shared" si="12"/>
        <v>HathiTrust Record</v>
      </c>
      <c r="AS667" s="6" t="str">
        <f t="shared" si="13"/>
        <v>Catalog Record</v>
      </c>
      <c r="AT667" s="6" t="str">
        <f t="shared" si="14"/>
        <v>WorldCat Record</v>
      </c>
      <c r="AU667" s="3" t="s">
        <v>7501</v>
      </c>
      <c r="AV667" s="3" t="s">
        <v>7502</v>
      </c>
      <c r="AW667" s="3" t="s">
        <v>7503</v>
      </c>
      <c r="AX667" s="3" t="s">
        <v>7503</v>
      </c>
      <c r="AY667" s="3" t="s">
        <v>7504</v>
      </c>
      <c r="AZ667" s="3" t="s">
        <v>75</v>
      </c>
      <c r="BC667" s="3" t="s">
        <v>7597</v>
      </c>
      <c r="BD667" s="3" t="s">
        <v>7598</v>
      </c>
    </row>
    <row r="668" spans="1:56" ht="44.25" customHeight="1" x14ac:dyDescent="0.25">
      <c r="A668" s="7" t="s">
        <v>61</v>
      </c>
      <c r="B668" s="2" t="s">
        <v>7494</v>
      </c>
      <c r="C668" s="2" t="s">
        <v>7495</v>
      </c>
      <c r="D668" s="2" t="s">
        <v>7496</v>
      </c>
      <c r="E668" s="3" t="s">
        <v>7599</v>
      </c>
      <c r="F668" s="3" t="s">
        <v>59</v>
      </c>
      <c r="G668" s="3" t="s">
        <v>60</v>
      </c>
      <c r="H668" s="3" t="s">
        <v>61</v>
      </c>
      <c r="I668" s="3" t="s">
        <v>61</v>
      </c>
      <c r="J668" s="3" t="s">
        <v>62</v>
      </c>
      <c r="K668" s="2" t="s">
        <v>7498</v>
      </c>
      <c r="L668" s="2" t="s">
        <v>7499</v>
      </c>
      <c r="M668" s="3" t="s">
        <v>5326</v>
      </c>
      <c r="O668" s="3" t="s">
        <v>114</v>
      </c>
      <c r="P668" s="3" t="s">
        <v>67</v>
      </c>
      <c r="R668" s="3" t="s">
        <v>68</v>
      </c>
      <c r="S668" s="4">
        <v>0</v>
      </c>
      <c r="T668" s="4">
        <v>8</v>
      </c>
      <c r="V668" s="5" t="s">
        <v>7500</v>
      </c>
      <c r="W668" s="5" t="s">
        <v>1638</v>
      </c>
      <c r="X668" s="5" t="s">
        <v>1638</v>
      </c>
      <c r="Y668" s="4">
        <v>141</v>
      </c>
      <c r="Z668" s="4">
        <v>140</v>
      </c>
      <c r="AA668" s="4">
        <v>146</v>
      </c>
      <c r="AB668" s="4">
        <v>2</v>
      </c>
      <c r="AC668" s="4">
        <v>2</v>
      </c>
      <c r="AD668" s="4">
        <v>11</v>
      </c>
      <c r="AE668" s="4">
        <v>11</v>
      </c>
      <c r="AF668" s="4">
        <v>6</v>
      </c>
      <c r="AG668" s="4">
        <v>6</v>
      </c>
      <c r="AH668" s="4">
        <v>2</v>
      </c>
      <c r="AI668" s="4">
        <v>2</v>
      </c>
      <c r="AJ668" s="4">
        <v>5</v>
      </c>
      <c r="AK668" s="4">
        <v>5</v>
      </c>
      <c r="AL668" s="4">
        <v>1</v>
      </c>
      <c r="AM668" s="4">
        <v>1</v>
      </c>
      <c r="AN668" s="4">
        <v>0</v>
      </c>
      <c r="AO668" s="4">
        <v>0</v>
      </c>
      <c r="AP668" s="3" t="s">
        <v>61</v>
      </c>
      <c r="AQ668" s="3" t="s">
        <v>59</v>
      </c>
      <c r="AR668" s="6" t="str">
        <f t="shared" si="12"/>
        <v>HathiTrust Record</v>
      </c>
      <c r="AS668" s="6" t="str">
        <f t="shared" si="13"/>
        <v>Catalog Record</v>
      </c>
      <c r="AT668" s="6" t="str">
        <f t="shared" si="14"/>
        <v>WorldCat Record</v>
      </c>
      <c r="AU668" s="3" t="s">
        <v>7501</v>
      </c>
      <c r="AV668" s="3" t="s">
        <v>7502</v>
      </c>
      <c r="AW668" s="3" t="s">
        <v>7503</v>
      </c>
      <c r="AX668" s="3" t="s">
        <v>7503</v>
      </c>
      <c r="AY668" s="3" t="s">
        <v>7504</v>
      </c>
      <c r="AZ668" s="3" t="s">
        <v>75</v>
      </c>
      <c r="BC668" s="3" t="s">
        <v>7600</v>
      </c>
      <c r="BD668" s="3" t="s">
        <v>7601</v>
      </c>
    </row>
    <row r="669" spans="1:56" ht="44.25" customHeight="1" x14ac:dyDescent="0.25">
      <c r="A669" s="7" t="s">
        <v>61</v>
      </c>
      <c r="B669" s="2" t="s">
        <v>7494</v>
      </c>
      <c r="C669" s="2" t="s">
        <v>7495</v>
      </c>
      <c r="D669" s="2" t="s">
        <v>7496</v>
      </c>
      <c r="E669" s="3" t="s">
        <v>7602</v>
      </c>
      <c r="F669" s="3" t="s">
        <v>59</v>
      </c>
      <c r="G669" s="3" t="s">
        <v>60</v>
      </c>
      <c r="H669" s="3" t="s">
        <v>61</v>
      </c>
      <c r="I669" s="3" t="s">
        <v>61</v>
      </c>
      <c r="J669" s="3" t="s">
        <v>62</v>
      </c>
      <c r="K669" s="2" t="s">
        <v>7498</v>
      </c>
      <c r="L669" s="2" t="s">
        <v>7499</v>
      </c>
      <c r="M669" s="3" t="s">
        <v>5326</v>
      </c>
      <c r="O669" s="3" t="s">
        <v>114</v>
      </c>
      <c r="P669" s="3" t="s">
        <v>67</v>
      </c>
      <c r="R669" s="3" t="s">
        <v>68</v>
      </c>
      <c r="S669" s="4">
        <v>0</v>
      </c>
      <c r="T669" s="4">
        <v>8</v>
      </c>
      <c r="V669" s="5" t="s">
        <v>7500</v>
      </c>
      <c r="W669" s="5" t="s">
        <v>1638</v>
      </c>
      <c r="X669" s="5" t="s">
        <v>1638</v>
      </c>
      <c r="Y669" s="4">
        <v>141</v>
      </c>
      <c r="Z669" s="4">
        <v>140</v>
      </c>
      <c r="AA669" s="4">
        <v>146</v>
      </c>
      <c r="AB669" s="4">
        <v>2</v>
      </c>
      <c r="AC669" s="4">
        <v>2</v>
      </c>
      <c r="AD669" s="4">
        <v>11</v>
      </c>
      <c r="AE669" s="4">
        <v>11</v>
      </c>
      <c r="AF669" s="4">
        <v>6</v>
      </c>
      <c r="AG669" s="4">
        <v>6</v>
      </c>
      <c r="AH669" s="4">
        <v>2</v>
      </c>
      <c r="AI669" s="4">
        <v>2</v>
      </c>
      <c r="AJ669" s="4">
        <v>5</v>
      </c>
      <c r="AK669" s="4">
        <v>5</v>
      </c>
      <c r="AL669" s="4">
        <v>1</v>
      </c>
      <c r="AM669" s="4">
        <v>1</v>
      </c>
      <c r="AN669" s="4">
        <v>0</v>
      </c>
      <c r="AO669" s="4">
        <v>0</v>
      </c>
      <c r="AP669" s="3" t="s">
        <v>61</v>
      </c>
      <c r="AQ669" s="3" t="s">
        <v>59</v>
      </c>
      <c r="AR669" s="6" t="str">
        <f t="shared" si="12"/>
        <v>HathiTrust Record</v>
      </c>
      <c r="AS669" s="6" t="str">
        <f t="shared" si="13"/>
        <v>Catalog Record</v>
      </c>
      <c r="AT669" s="6" t="str">
        <f t="shared" si="14"/>
        <v>WorldCat Record</v>
      </c>
      <c r="AU669" s="3" t="s">
        <v>7501</v>
      </c>
      <c r="AV669" s="3" t="s">
        <v>7502</v>
      </c>
      <c r="AW669" s="3" t="s">
        <v>7503</v>
      </c>
      <c r="AX669" s="3" t="s">
        <v>7503</v>
      </c>
      <c r="AY669" s="3" t="s">
        <v>7504</v>
      </c>
      <c r="AZ669" s="3" t="s">
        <v>75</v>
      </c>
      <c r="BC669" s="3" t="s">
        <v>7603</v>
      </c>
      <c r="BD669" s="3" t="s">
        <v>7604</v>
      </c>
    </row>
    <row r="670" spans="1:56" ht="44.25" customHeight="1" x14ac:dyDescent="0.25">
      <c r="A670" s="7" t="s">
        <v>61</v>
      </c>
      <c r="B670" s="2" t="s">
        <v>7494</v>
      </c>
      <c r="C670" s="2" t="s">
        <v>7495</v>
      </c>
      <c r="D670" s="2" t="s">
        <v>7496</v>
      </c>
      <c r="E670" s="3" t="s">
        <v>7605</v>
      </c>
      <c r="F670" s="3" t="s">
        <v>59</v>
      </c>
      <c r="G670" s="3" t="s">
        <v>60</v>
      </c>
      <c r="H670" s="3" t="s">
        <v>61</v>
      </c>
      <c r="I670" s="3" t="s">
        <v>61</v>
      </c>
      <c r="J670" s="3" t="s">
        <v>62</v>
      </c>
      <c r="K670" s="2" t="s">
        <v>7498</v>
      </c>
      <c r="L670" s="2" t="s">
        <v>7499</v>
      </c>
      <c r="M670" s="3" t="s">
        <v>5326</v>
      </c>
      <c r="O670" s="3" t="s">
        <v>114</v>
      </c>
      <c r="P670" s="3" t="s">
        <v>67</v>
      </c>
      <c r="R670" s="3" t="s">
        <v>68</v>
      </c>
      <c r="S670" s="4">
        <v>0</v>
      </c>
      <c r="T670" s="4">
        <v>8</v>
      </c>
      <c r="V670" s="5" t="s">
        <v>7500</v>
      </c>
      <c r="W670" s="5" t="s">
        <v>1638</v>
      </c>
      <c r="X670" s="5" t="s">
        <v>1638</v>
      </c>
      <c r="Y670" s="4">
        <v>141</v>
      </c>
      <c r="Z670" s="4">
        <v>140</v>
      </c>
      <c r="AA670" s="4">
        <v>146</v>
      </c>
      <c r="AB670" s="4">
        <v>2</v>
      </c>
      <c r="AC670" s="4">
        <v>2</v>
      </c>
      <c r="AD670" s="4">
        <v>11</v>
      </c>
      <c r="AE670" s="4">
        <v>11</v>
      </c>
      <c r="AF670" s="4">
        <v>6</v>
      </c>
      <c r="AG670" s="4">
        <v>6</v>
      </c>
      <c r="AH670" s="4">
        <v>2</v>
      </c>
      <c r="AI670" s="4">
        <v>2</v>
      </c>
      <c r="AJ670" s="4">
        <v>5</v>
      </c>
      <c r="AK670" s="4">
        <v>5</v>
      </c>
      <c r="AL670" s="4">
        <v>1</v>
      </c>
      <c r="AM670" s="4">
        <v>1</v>
      </c>
      <c r="AN670" s="4">
        <v>0</v>
      </c>
      <c r="AO670" s="4">
        <v>0</v>
      </c>
      <c r="AP670" s="3" t="s">
        <v>61</v>
      </c>
      <c r="AQ670" s="3" t="s">
        <v>59</v>
      </c>
      <c r="AR670" s="6" t="str">
        <f t="shared" si="12"/>
        <v>HathiTrust Record</v>
      </c>
      <c r="AS670" s="6" t="str">
        <f t="shared" si="13"/>
        <v>Catalog Record</v>
      </c>
      <c r="AT670" s="6" t="str">
        <f t="shared" si="14"/>
        <v>WorldCat Record</v>
      </c>
      <c r="AU670" s="3" t="s">
        <v>7501</v>
      </c>
      <c r="AV670" s="3" t="s">
        <v>7502</v>
      </c>
      <c r="AW670" s="3" t="s">
        <v>7503</v>
      </c>
      <c r="AX670" s="3" t="s">
        <v>7503</v>
      </c>
      <c r="AY670" s="3" t="s">
        <v>7504</v>
      </c>
      <c r="AZ670" s="3" t="s">
        <v>75</v>
      </c>
      <c r="BC670" s="3" t="s">
        <v>7606</v>
      </c>
      <c r="BD670" s="3" t="s">
        <v>7607</v>
      </c>
    </row>
    <row r="671" spans="1:56" ht="44.25" customHeight="1" x14ac:dyDescent="0.25">
      <c r="A671" s="7" t="s">
        <v>61</v>
      </c>
      <c r="B671" s="2" t="s">
        <v>7494</v>
      </c>
      <c r="C671" s="2" t="s">
        <v>7495</v>
      </c>
      <c r="D671" s="2" t="s">
        <v>7496</v>
      </c>
      <c r="E671" s="3" t="s">
        <v>7608</v>
      </c>
      <c r="F671" s="3" t="s">
        <v>59</v>
      </c>
      <c r="G671" s="3" t="s">
        <v>60</v>
      </c>
      <c r="H671" s="3" t="s">
        <v>61</v>
      </c>
      <c r="I671" s="3" t="s">
        <v>61</v>
      </c>
      <c r="J671" s="3" t="s">
        <v>62</v>
      </c>
      <c r="K671" s="2" t="s">
        <v>7498</v>
      </c>
      <c r="L671" s="2" t="s">
        <v>7499</v>
      </c>
      <c r="M671" s="3" t="s">
        <v>5326</v>
      </c>
      <c r="O671" s="3" t="s">
        <v>114</v>
      </c>
      <c r="P671" s="3" t="s">
        <v>67</v>
      </c>
      <c r="R671" s="3" t="s">
        <v>68</v>
      </c>
      <c r="S671" s="4">
        <v>0</v>
      </c>
      <c r="T671" s="4">
        <v>8</v>
      </c>
      <c r="V671" s="5" t="s">
        <v>7500</v>
      </c>
      <c r="W671" s="5" t="s">
        <v>1638</v>
      </c>
      <c r="X671" s="5" t="s">
        <v>1638</v>
      </c>
      <c r="Y671" s="4">
        <v>141</v>
      </c>
      <c r="Z671" s="4">
        <v>140</v>
      </c>
      <c r="AA671" s="4">
        <v>146</v>
      </c>
      <c r="AB671" s="4">
        <v>2</v>
      </c>
      <c r="AC671" s="4">
        <v>2</v>
      </c>
      <c r="AD671" s="4">
        <v>11</v>
      </c>
      <c r="AE671" s="4">
        <v>11</v>
      </c>
      <c r="AF671" s="4">
        <v>6</v>
      </c>
      <c r="AG671" s="4">
        <v>6</v>
      </c>
      <c r="AH671" s="4">
        <v>2</v>
      </c>
      <c r="AI671" s="4">
        <v>2</v>
      </c>
      <c r="AJ671" s="4">
        <v>5</v>
      </c>
      <c r="AK671" s="4">
        <v>5</v>
      </c>
      <c r="AL671" s="4">
        <v>1</v>
      </c>
      <c r="AM671" s="4">
        <v>1</v>
      </c>
      <c r="AN671" s="4">
        <v>0</v>
      </c>
      <c r="AO671" s="4">
        <v>0</v>
      </c>
      <c r="AP671" s="3" t="s">
        <v>61</v>
      </c>
      <c r="AQ671" s="3" t="s">
        <v>59</v>
      </c>
      <c r="AR671" s="6" t="str">
        <f t="shared" si="12"/>
        <v>HathiTrust Record</v>
      </c>
      <c r="AS671" s="6" t="str">
        <f t="shared" si="13"/>
        <v>Catalog Record</v>
      </c>
      <c r="AT671" s="6" t="str">
        <f t="shared" si="14"/>
        <v>WorldCat Record</v>
      </c>
      <c r="AU671" s="3" t="s">
        <v>7501</v>
      </c>
      <c r="AV671" s="3" t="s">
        <v>7502</v>
      </c>
      <c r="AW671" s="3" t="s">
        <v>7503</v>
      </c>
      <c r="AX671" s="3" t="s">
        <v>7503</v>
      </c>
      <c r="AY671" s="3" t="s">
        <v>7504</v>
      </c>
      <c r="AZ671" s="3" t="s">
        <v>75</v>
      </c>
      <c r="BC671" s="3" t="s">
        <v>7609</v>
      </c>
      <c r="BD671" s="3" t="s">
        <v>7610</v>
      </c>
    </row>
    <row r="672" spans="1:56" ht="44.25" customHeight="1" x14ac:dyDescent="0.25">
      <c r="A672" s="7" t="s">
        <v>61</v>
      </c>
      <c r="B672" s="2" t="s">
        <v>7494</v>
      </c>
      <c r="C672" s="2" t="s">
        <v>7495</v>
      </c>
      <c r="D672" s="2" t="s">
        <v>7496</v>
      </c>
      <c r="E672" s="3" t="s">
        <v>105</v>
      </c>
      <c r="F672" s="3" t="s">
        <v>59</v>
      </c>
      <c r="G672" s="3" t="s">
        <v>60</v>
      </c>
      <c r="H672" s="3" t="s">
        <v>61</v>
      </c>
      <c r="I672" s="3" t="s">
        <v>61</v>
      </c>
      <c r="J672" s="3" t="s">
        <v>62</v>
      </c>
      <c r="K672" s="2" t="s">
        <v>7498</v>
      </c>
      <c r="L672" s="2" t="s">
        <v>7499</v>
      </c>
      <c r="M672" s="3" t="s">
        <v>5326</v>
      </c>
      <c r="O672" s="3" t="s">
        <v>114</v>
      </c>
      <c r="P672" s="3" t="s">
        <v>67</v>
      </c>
      <c r="R672" s="3" t="s">
        <v>68</v>
      </c>
      <c r="S672" s="4">
        <v>0</v>
      </c>
      <c r="T672" s="4">
        <v>8</v>
      </c>
      <c r="V672" s="5" t="s">
        <v>7500</v>
      </c>
      <c r="W672" s="5" t="s">
        <v>1638</v>
      </c>
      <c r="X672" s="5" t="s">
        <v>1638</v>
      </c>
      <c r="Y672" s="4">
        <v>141</v>
      </c>
      <c r="Z672" s="4">
        <v>140</v>
      </c>
      <c r="AA672" s="4">
        <v>146</v>
      </c>
      <c r="AB672" s="4">
        <v>2</v>
      </c>
      <c r="AC672" s="4">
        <v>2</v>
      </c>
      <c r="AD672" s="4">
        <v>11</v>
      </c>
      <c r="AE672" s="4">
        <v>11</v>
      </c>
      <c r="AF672" s="4">
        <v>6</v>
      </c>
      <c r="AG672" s="4">
        <v>6</v>
      </c>
      <c r="AH672" s="4">
        <v>2</v>
      </c>
      <c r="AI672" s="4">
        <v>2</v>
      </c>
      <c r="AJ672" s="4">
        <v>5</v>
      </c>
      <c r="AK672" s="4">
        <v>5</v>
      </c>
      <c r="AL672" s="4">
        <v>1</v>
      </c>
      <c r="AM672" s="4">
        <v>1</v>
      </c>
      <c r="AN672" s="4">
        <v>0</v>
      </c>
      <c r="AO672" s="4">
        <v>0</v>
      </c>
      <c r="AP672" s="3" t="s">
        <v>61</v>
      </c>
      <c r="AQ672" s="3" t="s">
        <v>59</v>
      </c>
      <c r="AR672" s="6" t="str">
        <f t="shared" si="12"/>
        <v>HathiTrust Record</v>
      </c>
      <c r="AS672" s="6" t="str">
        <f t="shared" si="13"/>
        <v>Catalog Record</v>
      </c>
      <c r="AT672" s="6" t="str">
        <f t="shared" si="14"/>
        <v>WorldCat Record</v>
      </c>
      <c r="AU672" s="3" t="s">
        <v>7501</v>
      </c>
      <c r="AV672" s="3" t="s">
        <v>7502</v>
      </c>
      <c r="AW672" s="3" t="s">
        <v>7503</v>
      </c>
      <c r="AX672" s="3" t="s">
        <v>7503</v>
      </c>
      <c r="AY672" s="3" t="s">
        <v>7504</v>
      </c>
      <c r="AZ672" s="3" t="s">
        <v>75</v>
      </c>
      <c r="BC672" s="3" t="s">
        <v>7611</v>
      </c>
      <c r="BD672" s="3" t="s">
        <v>7612</v>
      </c>
    </row>
    <row r="673" spans="1:56" ht="44.25" customHeight="1" x14ac:dyDescent="0.25">
      <c r="A673" s="7" t="s">
        <v>61</v>
      </c>
      <c r="B673" s="2" t="s">
        <v>7494</v>
      </c>
      <c r="C673" s="2" t="s">
        <v>7495</v>
      </c>
      <c r="D673" s="2" t="s">
        <v>7496</v>
      </c>
      <c r="E673" s="3" t="s">
        <v>7613</v>
      </c>
      <c r="F673" s="3" t="s">
        <v>59</v>
      </c>
      <c r="G673" s="3" t="s">
        <v>60</v>
      </c>
      <c r="H673" s="3" t="s">
        <v>61</v>
      </c>
      <c r="I673" s="3" t="s">
        <v>61</v>
      </c>
      <c r="J673" s="3" t="s">
        <v>62</v>
      </c>
      <c r="K673" s="2" t="s">
        <v>7498</v>
      </c>
      <c r="L673" s="2" t="s">
        <v>7499</v>
      </c>
      <c r="M673" s="3" t="s">
        <v>5326</v>
      </c>
      <c r="O673" s="3" t="s">
        <v>114</v>
      </c>
      <c r="P673" s="3" t="s">
        <v>67</v>
      </c>
      <c r="R673" s="3" t="s">
        <v>68</v>
      </c>
      <c r="S673" s="4">
        <v>0</v>
      </c>
      <c r="T673" s="4">
        <v>8</v>
      </c>
      <c r="V673" s="5" t="s">
        <v>7500</v>
      </c>
      <c r="W673" s="5" t="s">
        <v>1638</v>
      </c>
      <c r="X673" s="5" t="s">
        <v>1638</v>
      </c>
      <c r="Y673" s="4">
        <v>141</v>
      </c>
      <c r="Z673" s="4">
        <v>140</v>
      </c>
      <c r="AA673" s="4">
        <v>146</v>
      </c>
      <c r="AB673" s="4">
        <v>2</v>
      </c>
      <c r="AC673" s="4">
        <v>2</v>
      </c>
      <c r="AD673" s="4">
        <v>11</v>
      </c>
      <c r="AE673" s="4">
        <v>11</v>
      </c>
      <c r="AF673" s="4">
        <v>6</v>
      </c>
      <c r="AG673" s="4">
        <v>6</v>
      </c>
      <c r="AH673" s="4">
        <v>2</v>
      </c>
      <c r="AI673" s="4">
        <v>2</v>
      </c>
      <c r="AJ673" s="4">
        <v>5</v>
      </c>
      <c r="AK673" s="4">
        <v>5</v>
      </c>
      <c r="AL673" s="4">
        <v>1</v>
      </c>
      <c r="AM673" s="4">
        <v>1</v>
      </c>
      <c r="AN673" s="4">
        <v>0</v>
      </c>
      <c r="AO673" s="4">
        <v>0</v>
      </c>
      <c r="AP673" s="3" t="s">
        <v>61</v>
      </c>
      <c r="AQ673" s="3" t="s">
        <v>59</v>
      </c>
      <c r="AR673" s="6" t="str">
        <f t="shared" si="12"/>
        <v>HathiTrust Record</v>
      </c>
      <c r="AS673" s="6" t="str">
        <f t="shared" si="13"/>
        <v>Catalog Record</v>
      </c>
      <c r="AT673" s="6" t="str">
        <f t="shared" si="14"/>
        <v>WorldCat Record</v>
      </c>
      <c r="AU673" s="3" t="s">
        <v>7501</v>
      </c>
      <c r="AV673" s="3" t="s">
        <v>7502</v>
      </c>
      <c r="AW673" s="3" t="s">
        <v>7503</v>
      </c>
      <c r="AX673" s="3" t="s">
        <v>7503</v>
      </c>
      <c r="AY673" s="3" t="s">
        <v>7504</v>
      </c>
      <c r="AZ673" s="3" t="s">
        <v>75</v>
      </c>
      <c r="BC673" s="3" t="s">
        <v>7614</v>
      </c>
      <c r="BD673" s="3" t="s">
        <v>7615</v>
      </c>
    </row>
    <row r="674" spans="1:56" ht="44.25" customHeight="1" x14ac:dyDescent="0.25">
      <c r="A674" s="7" t="s">
        <v>61</v>
      </c>
      <c r="B674" s="2" t="s">
        <v>7494</v>
      </c>
      <c r="C674" s="2" t="s">
        <v>7495</v>
      </c>
      <c r="D674" s="2" t="s">
        <v>7496</v>
      </c>
      <c r="E674" s="3" t="s">
        <v>84</v>
      </c>
      <c r="F674" s="3" t="s">
        <v>59</v>
      </c>
      <c r="G674" s="3" t="s">
        <v>60</v>
      </c>
      <c r="H674" s="3" t="s">
        <v>61</v>
      </c>
      <c r="I674" s="3" t="s">
        <v>61</v>
      </c>
      <c r="J674" s="3" t="s">
        <v>62</v>
      </c>
      <c r="K674" s="2" t="s">
        <v>7498</v>
      </c>
      <c r="L674" s="2" t="s">
        <v>7499</v>
      </c>
      <c r="M674" s="3" t="s">
        <v>5326</v>
      </c>
      <c r="O674" s="3" t="s">
        <v>114</v>
      </c>
      <c r="P674" s="3" t="s">
        <v>67</v>
      </c>
      <c r="R674" s="3" t="s">
        <v>68</v>
      </c>
      <c r="S674" s="4">
        <v>7</v>
      </c>
      <c r="T674" s="4">
        <v>8</v>
      </c>
      <c r="U674" s="5" t="s">
        <v>7500</v>
      </c>
      <c r="V674" s="5" t="s">
        <v>7500</v>
      </c>
      <c r="W674" s="5" t="s">
        <v>1638</v>
      </c>
      <c r="X674" s="5" t="s">
        <v>1638</v>
      </c>
      <c r="Y674" s="4">
        <v>141</v>
      </c>
      <c r="Z674" s="4">
        <v>140</v>
      </c>
      <c r="AA674" s="4">
        <v>146</v>
      </c>
      <c r="AB674" s="4">
        <v>2</v>
      </c>
      <c r="AC674" s="4">
        <v>2</v>
      </c>
      <c r="AD674" s="4">
        <v>11</v>
      </c>
      <c r="AE674" s="4">
        <v>11</v>
      </c>
      <c r="AF674" s="4">
        <v>6</v>
      </c>
      <c r="AG674" s="4">
        <v>6</v>
      </c>
      <c r="AH674" s="4">
        <v>2</v>
      </c>
      <c r="AI674" s="4">
        <v>2</v>
      </c>
      <c r="AJ674" s="4">
        <v>5</v>
      </c>
      <c r="AK674" s="4">
        <v>5</v>
      </c>
      <c r="AL674" s="4">
        <v>1</v>
      </c>
      <c r="AM674" s="4">
        <v>1</v>
      </c>
      <c r="AN674" s="4">
        <v>0</v>
      </c>
      <c r="AO674" s="4">
        <v>0</v>
      </c>
      <c r="AP674" s="3" t="s">
        <v>61</v>
      </c>
      <c r="AQ674" s="3" t="s">
        <v>59</v>
      </c>
      <c r="AR674" s="6" t="str">
        <f t="shared" si="12"/>
        <v>HathiTrust Record</v>
      </c>
      <c r="AS674" s="6" t="str">
        <f t="shared" si="13"/>
        <v>Catalog Record</v>
      </c>
      <c r="AT674" s="6" t="str">
        <f t="shared" si="14"/>
        <v>WorldCat Record</v>
      </c>
      <c r="AU674" s="3" t="s">
        <v>7501</v>
      </c>
      <c r="AV674" s="3" t="s">
        <v>7502</v>
      </c>
      <c r="AW674" s="3" t="s">
        <v>7503</v>
      </c>
      <c r="AX674" s="3" t="s">
        <v>7503</v>
      </c>
      <c r="AY674" s="3" t="s">
        <v>7504</v>
      </c>
      <c r="AZ674" s="3" t="s">
        <v>75</v>
      </c>
      <c r="BC674" s="3" t="s">
        <v>7616</v>
      </c>
      <c r="BD674" s="3" t="s">
        <v>7617</v>
      </c>
    </row>
    <row r="675" spans="1:56" ht="44.25" customHeight="1" x14ac:dyDescent="0.25">
      <c r="A675" s="7" t="s">
        <v>61</v>
      </c>
      <c r="B675" s="2" t="s">
        <v>7494</v>
      </c>
      <c r="C675" s="2" t="s">
        <v>7495</v>
      </c>
      <c r="D675" s="2" t="s">
        <v>7496</v>
      </c>
      <c r="E675" s="3" t="s">
        <v>7618</v>
      </c>
      <c r="F675" s="3" t="s">
        <v>59</v>
      </c>
      <c r="G675" s="3" t="s">
        <v>60</v>
      </c>
      <c r="H675" s="3" t="s">
        <v>61</v>
      </c>
      <c r="I675" s="3" t="s">
        <v>61</v>
      </c>
      <c r="J675" s="3" t="s">
        <v>62</v>
      </c>
      <c r="K675" s="2" t="s">
        <v>7498</v>
      </c>
      <c r="L675" s="2" t="s">
        <v>7499</v>
      </c>
      <c r="M675" s="3" t="s">
        <v>5326</v>
      </c>
      <c r="O675" s="3" t="s">
        <v>114</v>
      </c>
      <c r="P675" s="3" t="s">
        <v>67</v>
      </c>
      <c r="R675" s="3" t="s">
        <v>68</v>
      </c>
      <c r="S675" s="4">
        <v>0</v>
      </c>
      <c r="T675" s="4">
        <v>8</v>
      </c>
      <c r="V675" s="5" t="s">
        <v>7500</v>
      </c>
      <c r="W675" s="5" t="s">
        <v>1638</v>
      </c>
      <c r="X675" s="5" t="s">
        <v>1638</v>
      </c>
      <c r="Y675" s="4">
        <v>141</v>
      </c>
      <c r="Z675" s="4">
        <v>140</v>
      </c>
      <c r="AA675" s="4">
        <v>146</v>
      </c>
      <c r="AB675" s="4">
        <v>2</v>
      </c>
      <c r="AC675" s="4">
        <v>2</v>
      </c>
      <c r="AD675" s="4">
        <v>11</v>
      </c>
      <c r="AE675" s="4">
        <v>11</v>
      </c>
      <c r="AF675" s="4">
        <v>6</v>
      </c>
      <c r="AG675" s="4">
        <v>6</v>
      </c>
      <c r="AH675" s="4">
        <v>2</v>
      </c>
      <c r="AI675" s="4">
        <v>2</v>
      </c>
      <c r="AJ675" s="4">
        <v>5</v>
      </c>
      <c r="AK675" s="4">
        <v>5</v>
      </c>
      <c r="AL675" s="4">
        <v>1</v>
      </c>
      <c r="AM675" s="4">
        <v>1</v>
      </c>
      <c r="AN675" s="4">
        <v>0</v>
      </c>
      <c r="AO675" s="4">
        <v>0</v>
      </c>
      <c r="AP675" s="3" t="s">
        <v>61</v>
      </c>
      <c r="AQ675" s="3" t="s">
        <v>59</v>
      </c>
      <c r="AR675" s="6" t="str">
        <f t="shared" si="12"/>
        <v>HathiTrust Record</v>
      </c>
      <c r="AS675" s="6" t="str">
        <f t="shared" si="13"/>
        <v>Catalog Record</v>
      </c>
      <c r="AT675" s="6" t="str">
        <f t="shared" si="14"/>
        <v>WorldCat Record</v>
      </c>
      <c r="AU675" s="3" t="s">
        <v>7501</v>
      </c>
      <c r="AV675" s="3" t="s">
        <v>7502</v>
      </c>
      <c r="AW675" s="3" t="s">
        <v>7503</v>
      </c>
      <c r="AX675" s="3" t="s">
        <v>7503</v>
      </c>
      <c r="AY675" s="3" t="s">
        <v>7504</v>
      </c>
      <c r="AZ675" s="3" t="s">
        <v>75</v>
      </c>
      <c r="BC675" s="3" t="s">
        <v>7619</v>
      </c>
      <c r="BD675" s="3" t="s">
        <v>7620</v>
      </c>
    </row>
    <row r="676" spans="1:56" ht="44.25" customHeight="1" x14ac:dyDescent="0.25">
      <c r="A676" s="7" t="s">
        <v>61</v>
      </c>
      <c r="B676" s="2" t="s">
        <v>7494</v>
      </c>
      <c r="C676" s="2" t="s">
        <v>7495</v>
      </c>
      <c r="D676" s="2" t="s">
        <v>7496</v>
      </c>
      <c r="E676" s="3" t="s">
        <v>7621</v>
      </c>
      <c r="F676" s="3" t="s">
        <v>59</v>
      </c>
      <c r="G676" s="3" t="s">
        <v>60</v>
      </c>
      <c r="H676" s="3" t="s">
        <v>61</v>
      </c>
      <c r="I676" s="3" t="s">
        <v>61</v>
      </c>
      <c r="J676" s="3" t="s">
        <v>62</v>
      </c>
      <c r="K676" s="2" t="s">
        <v>7498</v>
      </c>
      <c r="L676" s="2" t="s">
        <v>7499</v>
      </c>
      <c r="M676" s="3" t="s">
        <v>5326</v>
      </c>
      <c r="O676" s="3" t="s">
        <v>114</v>
      </c>
      <c r="P676" s="3" t="s">
        <v>67</v>
      </c>
      <c r="R676" s="3" t="s">
        <v>68</v>
      </c>
      <c r="S676" s="4">
        <v>0</v>
      </c>
      <c r="T676" s="4">
        <v>8</v>
      </c>
      <c r="V676" s="5" t="s">
        <v>7500</v>
      </c>
      <c r="W676" s="5" t="s">
        <v>1638</v>
      </c>
      <c r="X676" s="5" t="s">
        <v>1638</v>
      </c>
      <c r="Y676" s="4">
        <v>141</v>
      </c>
      <c r="Z676" s="4">
        <v>140</v>
      </c>
      <c r="AA676" s="4">
        <v>146</v>
      </c>
      <c r="AB676" s="4">
        <v>2</v>
      </c>
      <c r="AC676" s="4">
        <v>2</v>
      </c>
      <c r="AD676" s="4">
        <v>11</v>
      </c>
      <c r="AE676" s="4">
        <v>11</v>
      </c>
      <c r="AF676" s="4">
        <v>6</v>
      </c>
      <c r="AG676" s="4">
        <v>6</v>
      </c>
      <c r="AH676" s="4">
        <v>2</v>
      </c>
      <c r="AI676" s="4">
        <v>2</v>
      </c>
      <c r="AJ676" s="4">
        <v>5</v>
      </c>
      <c r="AK676" s="4">
        <v>5</v>
      </c>
      <c r="AL676" s="4">
        <v>1</v>
      </c>
      <c r="AM676" s="4">
        <v>1</v>
      </c>
      <c r="AN676" s="4">
        <v>0</v>
      </c>
      <c r="AO676" s="4">
        <v>0</v>
      </c>
      <c r="AP676" s="3" t="s">
        <v>61</v>
      </c>
      <c r="AQ676" s="3" t="s">
        <v>59</v>
      </c>
      <c r="AR676" s="6" t="str">
        <f t="shared" si="12"/>
        <v>HathiTrust Record</v>
      </c>
      <c r="AS676" s="6" t="str">
        <f t="shared" si="13"/>
        <v>Catalog Record</v>
      </c>
      <c r="AT676" s="6" t="str">
        <f t="shared" si="14"/>
        <v>WorldCat Record</v>
      </c>
      <c r="AU676" s="3" t="s">
        <v>7501</v>
      </c>
      <c r="AV676" s="3" t="s">
        <v>7502</v>
      </c>
      <c r="AW676" s="3" t="s">
        <v>7503</v>
      </c>
      <c r="AX676" s="3" t="s">
        <v>7503</v>
      </c>
      <c r="AY676" s="3" t="s">
        <v>7504</v>
      </c>
      <c r="AZ676" s="3" t="s">
        <v>75</v>
      </c>
      <c r="BC676" s="3" t="s">
        <v>7622</v>
      </c>
      <c r="BD676" s="3" t="s">
        <v>7623</v>
      </c>
    </row>
    <row r="677" spans="1:56" ht="44.25" customHeight="1" x14ac:dyDescent="0.25">
      <c r="A677" s="7" t="s">
        <v>61</v>
      </c>
      <c r="B677" s="2" t="s">
        <v>7494</v>
      </c>
      <c r="C677" s="2" t="s">
        <v>7495</v>
      </c>
      <c r="D677" s="2" t="s">
        <v>7496</v>
      </c>
      <c r="E677" s="3" t="s">
        <v>3555</v>
      </c>
      <c r="F677" s="3" t="s">
        <v>59</v>
      </c>
      <c r="G677" s="3" t="s">
        <v>60</v>
      </c>
      <c r="H677" s="3" t="s">
        <v>61</v>
      </c>
      <c r="I677" s="3" t="s">
        <v>61</v>
      </c>
      <c r="J677" s="3" t="s">
        <v>62</v>
      </c>
      <c r="K677" s="2" t="s">
        <v>7498</v>
      </c>
      <c r="L677" s="2" t="s">
        <v>7499</v>
      </c>
      <c r="M677" s="3" t="s">
        <v>5326</v>
      </c>
      <c r="O677" s="3" t="s">
        <v>114</v>
      </c>
      <c r="P677" s="3" t="s">
        <v>67</v>
      </c>
      <c r="R677" s="3" t="s">
        <v>68</v>
      </c>
      <c r="S677" s="4">
        <v>0</v>
      </c>
      <c r="T677" s="4">
        <v>8</v>
      </c>
      <c r="V677" s="5" t="s">
        <v>7500</v>
      </c>
      <c r="W677" s="5" t="s">
        <v>1638</v>
      </c>
      <c r="X677" s="5" t="s">
        <v>1638</v>
      </c>
      <c r="Y677" s="4">
        <v>141</v>
      </c>
      <c r="Z677" s="4">
        <v>140</v>
      </c>
      <c r="AA677" s="4">
        <v>146</v>
      </c>
      <c r="AB677" s="4">
        <v>2</v>
      </c>
      <c r="AC677" s="4">
        <v>2</v>
      </c>
      <c r="AD677" s="4">
        <v>11</v>
      </c>
      <c r="AE677" s="4">
        <v>11</v>
      </c>
      <c r="AF677" s="4">
        <v>6</v>
      </c>
      <c r="AG677" s="4">
        <v>6</v>
      </c>
      <c r="AH677" s="4">
        <v>2</v>
      </c>
      <c r="AI677" s="4">
        <v>2</v>
      </c>
      <c r="AJ677" s="4">
        <v>5</v>
      </c>
      <c r="AK677" s="4">
        <v>5</v>
      </c>
      <c r="AL677" s="4">
        <v>1</v>
      </c>
      <c r="AM677" s="4">
        <v>1</v>
      </c>
      <c r="AN677" s="4">
        <v>0</v>
      </c>
      <c r="AO677" s="4">
        <v>0</v>
      </c>
      <c r="AP677" s="3" t="s">
        <v>61</v>
      </c>
      <c r="AQ677" s="3" t="s">
        <v>59</v>
      </c>
      <c r="AR677" s="6" t="str">
        <f t="shared" si="12"/>
        <v>HathiTrust Record</v>
      </c>
      <c r="AS677" s="6" t="str">
        <f t="shared" si="13"/>
        <v>Catalog Record</v>
      </c>
      <c r="AT677" s="6" t="str">
        <f t="shared" si="14"/>
        <v>WorldCat Record</v>
      </c>
      <c r="AU677" s="3" t="s">
        <v>7501</v>
      </c>
      <c r="AV677" s="3" t="s">
        <v>7502</v>
      </c>
      <c r="AW677" s="3" t="s">
        <v>7503</v>
      </c>
      <c r="AX677" s="3" t="s">
        <v>7503</v>
      </c>
      <c r="AY677" s="3" t="s">
        <v>7504</v>
      </c>
      <c r="AZ677" s="3" t="s">
        <v>75</v>
      </c>
      <c r="BC677" s="3" t="s">
        <v>7624</v>
      </c>
      <c r="BD677" s="3" t="s">
        <v>7625</v>
      </c>
    </row>
    <row r="678" spans="1:56" ht="44.25" customHeight="1" x14ac:dyDescent="0.25">
      <c r="A678" s="7" t="s">
        <v>61</v>
      </c>
      <c r="B678" s="2" t="s">
        <v>7494</v>
      </c>
      <c r="C678" s="2" t="s">
        <v>7495</v>
      </c>
      <c r="D678" s="2" t="s">
        <v>7496</v>
      </c>
      <c r="E678" s="3" t="s">
        <v>81</v>
      </c>
      <c r="F678" s="3" t="s">
        <v>59</v>
      </c>
      <c r="G678" s="3" t="s">
        <v>60</v>
      </c>
      <c r="H678" s="3" t="s">
        <v>61</v>
      </c>
      <c r="I678" s="3" t="s">
        <v>61</v>
      </c>
      <c r="J678" s="3" t="s">
        <v>62</v>
      </c>
      <c r="K678" s="2" t="s">
        <v>7498</v>
      </c>
      <c r="L678" s="2" t="s">
        <v>7499</v>
      </c>
      <c r="M678" s="3" t="s">
        <v>5326</v>
      </c>
      <c r="O678" s="3" t="s">
        <v>114</v>
      </c>
      <c r="P678" s="3" t="s">
        <v>67</v>
      </c>
      <c r="R678" s="3" t="s">
        <v>68</v>
      </c>
      <c r="S678" s="4">
        <v>0</v>
      </c>
      <c r="T678" s="4">
        <v>8</v>
      </c>
      <c r="V678" s="5" t="s">
        <v>7500</v>
      </c>
      <c r="W678" s="5" t="s">
        <v>1638</v>
      </c>
      <c r="X678" s="5" t="s">
        <v>1638</v>
      </c>
      <c r="Y678" s="4">
        <v>141</v>
      </c>
      <c r="Z678" s="4">
        <v>140</v>
      </c>
      <c r="AA678" s="4">
        <v>146</v>
      </c>
      <c r="AB678" s="4">
        <v>2</v>
      </c>
      <c r="AC678" s="4">
        <v>2</v>
      </c>
      <c r="AD678" s="4">
        <v>11</v>
      </c>
      <c r="AE678" s="4">
        <v>11</v>
      </c>
      <c r="AF678" s="4">
        <v>6</v>
      </c>
      <c r="AG678" s="4">
        <v>6</v>
      </c>
      <c r="AH678" s="4">
        <v>2</v>
      </c>
      <c r="AI678" s="4">
        <v>2</v>
      </c>
      <c r="AJ678" s="4">
        <v>5</v>
      </c>
      <c r="AK678" s="4">
        <v>5</v>
      </c>
      <c r="AL678" s="4">
        <v>1</v>
      </c>
      <c r="AM678" s="4">
        <v>1</v>
      </c>
      <c r="AN678" s="4">
        <v>0</v>
      </c>
      <c r="AO678" s="4">
        <v>0</v>
      </c>
      <c r="AP678" s="3" t="s">
        <v>61</v>
      </c>
      <c r="AQ678" s="3" t="s">
        <v>59</v>
      </c>
      <c r="AR678" s="6" t="str">
        <f t="shared" si="12"/>
        <v>HathiTrust Record</v>
      </c>
      <c r="AS678" s="6" t="str">
        <f t="shared" si="13"/>
        <v>Catalog Record</v>
      </c>
      <c r="AT678" s="6" t="str">
        <f t="shared" si="14"/>
        <v>WorldCat Record</v>
      </c>
      <c r="AU678" s="3" t="s">
        <v>7501</v>
      </c>
      <c r="AV678" s="3" t="s">
        <v>7502</v>
      </c>
      <c r="AW678" s="3" t="s">
        <v>7503</v>
      </c>
      <c r="AX678" s="3" t="s">
        <v>7503</v>
      </c>
      <c r="AY678" s="3" t="s">
        <v>7504</v>
      </c>
      <c r="AZ678" s="3" t="s">
        <v>75</v>
      </c>
      <c r="BC678" s="3" t="s">
        <v>7626</v>
      </c>
      <c r="BD678" s="3" t="s">
        <v>7627</v>
      </c>
    </row>
    <row r="679" spans="1:56" ht="44.25" customHeight="1" x14ac:dyDescent="0.25">
      <c r="A679" s="7" t="s">
        <v>61</v>
      </c>
      <c r="B679" s="2" t="s">
        <v>7494</v>
      </c>
      <c r="C679" s="2" t="s">
        <v>7495</v>
      </c>
      <c r="D679" s="2" t="s">
        <v>7496</v>
      </c>
      <c r="E679" s="3" t="s">
        <v>90</v>
      </c>
      <c r="F679" s="3" t="s">
        <v>59</v>
      </c>
      <c r="G679" s="3" t="s">
        <v>60</v>
      </c>
      <c r="H679" s="3" t="s">
        <v>61</v>
      </c>
      <c r="I679" s="3" t="s">
        <v>61</v>
      </c>
      <c r="J679" s="3" t="s">
        <v>62</v>
      </c>
      <c r="K679" s="2" t="s">
        <v>7498</v>
      </c>
      <c r="L679" s="2" t="s">
        <v>7499</v>
      </c>
      <c r="M679" s="3" t="s">
        <v>5326</v>
      </c>
      <c r="O679" s="3" t="s">
        <v>114</v>
      </c>
      <c r="P679" s="3" t="s">
        <v>67</v>
      </c>
      <c r="R679" s="3" t="s">
        <v>68</v>
      </c>
      <c r="S679" s="4">
        <v>0</v>
      </c>
      <c r="T679" s="4">
        <v>8</v>
      </c>
      <c r="V679" s="5" t="s">
        <v>7500</v>
      </c>
      <c r="W679" s="5" t="s">
        <v>1638</v>
      </c>
      <c r="X679" s="5" t="s">
        <v>1638</v>
      </c>
      <c r="Y679" s="4">
        <v>141</v>
      </c>
      <c r="Z679" s="4">
        <v>140</v>
      </c>
      <c r="AA679" s="4">
        <v>146</v>
      </c>
      <c r="AB679" s="4">
        <v>2</v>
      </c>
      <c r="AC679" s="4">
        <v>2</v>
      </c>
      <c r="AD679" s="4">
        <v>11</v>
      </c>
      <c r="AE679" s="4">
        <v>11</v>
      </c>
      <c r="AF679" s="4">
        <v>6</v>
      </c>
      <c r="AG679" s="4">
        <v>6</v>
      </c>
      <c r="AH679" s="4">
        <v>2</v>
      </c>
      <c r="AI679" s="4">
        <v>2</v>
      </c>
      <c r="AJ679" s="4">
        <v>5</v>
      </c>
      <c r="AK679" s="4">
        <v>5</v>
      </c>
      <c r="AL679" s="4">
        <v>1</v>
      </c>
      <c r="AM679" s="4">
        <v>1</v>
      </c>
      <c r="AN679" s="4">
        <v>0</v>
      </c>
      <c r="AO679" s="4">
        <v>0</v>
      </c>
      <c r="AP679" s="3" t="s">
        <v>61</v>
      </c>
      <c r="AQ679" s="3" t="s">
        <v>59</v>
      </c>
      <c r="AR679" s="6" t="str">
        <f t="shared" si="12"/>
        <v>HathiTrust Record</v>
      </c>
      <c r="AS679" s="6" t="str">
        <f t="shared" si="13"/>
        <v>Catalog Record</v>
      </c>
      <c r="AT679" s="6" t="str">
        <f t="shared" si="14"/>
        <v>WorldCat Record</v>
      </c>
      <c r="AU679" s="3" t="s">
        <v>7501</v>
      </c>
      <c r="AV679" s="3" t="s">
        <v>7502</v>
      </c>
      <c r="AW679" s="3" t="s">
        <v>7503</v>
      </c>
      <c r="AX679" s="3" t="s">
        <v>7503</v>
      </c>
      <c r="AY679" s="3" t="s">
        <v>7504</v>
      </c>
      <c r="AZ679" s="3" t="s">
        <v>75</v>
      </c>
      <c r="BC679" s="3" t="s">
        <v>7628</v>
      </c>
      <c r="BD679" s="3" t="s">
        <v>7629</v>
      </c>
    </row>
    <row r="680" spans="1:56" ht="44.25" customHeight="1" x14ac:dyDescent="0.25">
      <c r="A680" s="7" t="s">
        <v>61</v>
      </c>
      <c r="B680" s="2" t="s">
        <v>7494</v>
      </c>
      <c r="C680" s="2" t="s">
        <v>7495</v>
      </c>
      <c r="D680" s="2" t="s">
        <v>7496</v>
      </c>
      <c r="E680" s="3" t="s">
        <v>78</v>
      </c>
      <c r="F680" s="3" t="s">
        <v>59</v>
      </c>
      <c r="G680" s="3" t="s">
        <v>60</v>
      </c>
      <c r="H680" s="3" t="s">
        <v>61</v>
      </c>
      <c r="I680" s="3" t="s">
        <v>61</v>
      </c>
      <c r="J680" s="3" t="s">
        <v>62</v>
      </c>
      <c r="K680" s="2" t="s">
        <v>7498</v>
      </c>
      <c r="L680" s="2" t="s">
        <v>7499</v>
      </c>
      <c r="M680" s="3" t="s">
        <v>5326</v>
      </c>
      <c r="O680" s="3" t="s">
        <v>114</v>
      </c>
      <c r="P680" s="3" t="s">
        <v>67</v>
      </c>
      <c r="R680" s="3" t="s">
        <v>68</v>
      </c>
      <c r="S680" s="4">
        <v>0</v>
      </c>
      <c r="T680" s="4">
        <v>8</v>
      </c>
      <c r="V680" s="5" t="s">
        <v>7500</v>
      </c>
      <c r="W680" s="5" t="s">
        <v>1638</v>
      </c>
      <c r="X680" s="5" t="s">
        <v>1638</v>
      </c>
      <c r="Y680" s="4">
        <v>141</v>
      </c>
      <c r="Z680" s="4">
        <v>140</v>
      </c>
      <c r="AA680" s="4">
        <v>146</v>
      </c>
      <c r="AB680" s="4">
        <v>2</v>
      </c>
      <c r="AC680" s="4">
        <v>2</v>
      </c>
      <c r="AD680" s="4">
        <v>11</v>
      </c>
      <c r="AE680" s="4">
        <v>11</v>
      </c>
      <c r="AF680" s="4">
        <v>6</v>
      </c>
      <c r="AG680" s="4">
        <v>6</v>
      </c>
      <c r="AH680" s="4">
        <v>2</v>
      </c>
      <c r="AI680" s="4">
        <v>2</v>
      </c>
      <c r="AJ680" s="4">
        <v>5</v>
      </c>
      <c r="AK680" s="4">
        <v>5</v>
      </c>
      <c r="AL680" s="4">
        <v>1</v>
      </c>
      <c r="AM680" s="4">
        <v>1</v>
      </c>
      <c r="AN680" s="4">
        <v>0</v>
      </c>
      <c r="AO680" s="4">
        <v>0</v>
      </c>
      <c r="AP680" s="3" t="s">
        <v>61</v>
      </c>
      <c r="AQ680" s="3" t="s">
        <v>59</v>
      </c>
      <c r="AR680" s="6" t="str">
        <f t="shared" si="12"/>
        <v>HathiTrust Record</v>
      </c>
      <c r="AS680" s="6" t="str">
        <f t="shared" si="13"/>
        <v>Catalog Record</v>
      </c>
      <c r="AT680" s="6" t="str">
        <f t="shared" si="14"/>
        <v>WorldCat Record</v>
      </c>
      <c r="AU680" s="3" t="s">
        <v>7501</v>
      </c>
      <c r="AV680" s="3" t="s">
        <v>7502</v>
      </c>
      <c r="AW680" s="3" t="s">
        <v>7503</v>
      </c>
      <c r="AX680" s="3" t="s">
        <v>7503</v>
      </c>
      <c r="AY680" s="3" t="s">
        <v>7504</v>
      </c>
      <c r="AZ680" s="3" t="s">
        <v>75</v>
      </c>
      <c r="BC680" s="3" t="s">
        <v>7630</v>
      </c>
      <c r="BD680" s="3" t="s">
        <v>7631</v>
      </c>
    </row>
    <row r="681" spans="1:56" ht="44.25" customHeight="1" x14ac:dyDescent="0.25">
      <c r="A681" s="7" t="s">
        <v>61</v>
      </c>
      <c r="B681" s="2" t="s">
        <v>7494</v>
      </c>
      <c r="C681" s="2" t="s">
        <v>7495</v>
      </c>
      <c r="D681" s="2" t="s">
        <v>7496</v>
      </c>
      <c r="E681" s="3" t="s">
        <v>141</v>
      </c>
      <c r="F681" s="3" t="s">
        <v>59</v>
      </c>
      <c r="G681" s="3" t="s">
        <v>60</v>
      </c>
      <c r="H681" s="3" t="s">
        <v>61</v>
      </c>
      <c r="I681" s="3" t="s">
        <v>61</v>
      </c>
      <c r="J681" s="3" t="s">
        <v>62</v>
      </c>
      <c r="K681" s="2" t="s">
        <v>7498</v>
      </c>
      <c r="L681" s="2" t="s">
        <v>7499</v>
      </c>
      <c r="M681" s="3" t="s">
        <v>5326</v>
      </c>
      <c r="O681" s="3" t="s">
        <v>114</v>
      </c>
      <c r="P681" s="3" t="s">
        <v>67</v>
      </c>
      <c r="R681" s="3" t="s">
        <v>68</v>
      </c>
      <c r="S681" s="4">
        <v>0</v>
      </c>
      <c r="T681" s="4">
        <v>8</v>
      </c>
      <c r="V681" s="5" t="s">
        <v>7500</v>
      </c>
      <c r="W681" s="5" t="s">
        <v>1638</v>
      </c>
      <c r="X681" s="5" t="s">
        <v>1638</v>
      </c>
      <c r="Y681" s="4">
        <v>141</v>
      </c>
      <c r="Z681" s="4">
        <v>140</v>
      </c>
      <c r="AA681" s="4">
        <v>146</v>
      </c>
      <c r="AB681" s="4">
        <v>2</v>
      </c>
      <c r="AC681" s="4">
        <v>2</v>
      </c>
      <c r="AD681" s="4">
        <v>11</v>
      </c>
      <c r="AE681" s="4">
        <v>11</v>
      </c>
      <c r="AF681" s="4">
        <v>6</v>
      </c>
      <c r="AG681" s="4">
        <v>6</v>
      </c>
      <c r="AH681" s="4">
        <v>2</v>
      </c>
      <c r="AI681" s="4">
        <v>2</v>
      </c>
      <c r="AJ681" s="4">
        <v>5</v>
      </c>
      <c r="AK681" s="4">
        <v>5</v>
      </c>
      <c r="AL681" s="4">
        <v>1</v>
      </c>
      <c r="AM681" s="4">
        <v>1</v>
      </c>
      <c r="AN681" s="4">
        <v>0</v>
      </c>
      <c r="AO681" s="4">
        <v>0</v>
      </c>
      <c r="AP681" s="3" t="s">
        <v>61</v>
      </c>
      <c r="AQ681" s="3" t="s">
        <v>59</v>
      </c>
      <c r="AR681" s="6" t="str">
        <f t="shared" si="12"/>
        <v>HathiTrust Record</v>
      </c>
      <c r="AS681" s="6" t="str">
        <f t="shared" si="13"/>
        <v>Catalog Record</v>
      </c>
      <c r="AT681" s="6" t="str">
        <f t="shared" si="14"/>
        <v>WorldCat Record</v>
      </c>
      <c r="AU681" s="3" t="s">
        <v>7501</v>
      </c>
      <c r="AV681" s="3" t="s">
        <v>7502</v>
      </c>
      <c r="AW681" s="3" t="s">
        <v>7503</v>
      </c>
      <c r="AX681" s="3" t="s">
        <v>7503</v>
      </c>
      <c r="AY681" s="3" t="s">
        <v>7504</v>
      </c>
      <c r="AZ681" s="3" t="s">
        <v>75</v>
      </c>
      <c r="BC681" s="3" t="s">
        <v>7632</v>
      </c>
      <c r="BD681" s="3" t="s">
        <v>7633</v>
      </c>
    </row>
    <row r="682" spans="1:56" ht="44.25" customHeight="1" x14ac:dyDescent="0.25">
      <c r="A682" s="7" t="s">
        <v>61</v>
      </c>
      <c r="B682" s="2" t="s">
        <v>7494</v>
      </c>
      <c r="C682" s="2" t="s">
        <v>7495</v>
      </c>
      <c r="D682" s="2" t="s">
        <v>7496</v>
      </c>
      <c r="E682" s="3" t="s">
        <v>7634</v>
      </c>
      <c r="F682" s="3" t="s">
        <v>59</v>
      </c>
      <c r="G682" s="3" t="s">
        <v>60</v>
      </c>
      <c r="H682" s="3" t="s">
        <v>61</v>
      </c>
      <c r="I682" s="3" t="s">
        <v>61</v>
      </c>
      <c r="J682" s="3" t="s">
        <v>62</v>
      </c>
      <c r="K682" s="2" t="s">
        <v>7498</v>
      </c>
      <c r="L682" s="2" t="s">
        <v>7499</v>
      </c>
      <c r="M682" s="3" t="s">
        <v>5326</v>
      </c>
      <c r="O682" s="3" t="s">
        <v>114</v>
      </c>
      <c r="P682" s="3" t="s">
        <v>67</v>
      </c>
      <c r="R682" s="3" t="s">
        <v>68</v>
      </c>
      <c r="S682" s="4">
        <v>0</v>
      </c>
      <c r="T682" s="4">
        <v>8</v>
      </c>
      <c r="V682" s="5" t="s">
        <v>7500</v>
      </c>
      <c r="W682" s="5" t="s">
        <v>1638</v>
      </c>
      <c r="X682" s="5" t="s">
        <v>1638</v>
      </c>
      <c r="Y682" s="4">
        <v>141</v>
      </c>
      <c r="Z682" s="4">
        <v>140</v>
      </c>
      <c r="AA682" s="4">
        <v>146</v>
      </c>
      <c r="AB682" s="4">
        <v>2</v>
      </c>
      <c r="AC682" s="4">
        <v>2</v>
      </c>
      <c r="AD682" s="4">
        <v>11</v>
      </c>
      <c r="AE682" s="4">
        <v>11</v>
      </c>
      <c r="AF682" s="4">
        <v>6</v>
      </c>
      <c r="AG682" s="4">
        <v>6</v>
      </c>
      <c r="AH682" s="4">
        <v>2</v>
      </c>
      <c r="AI682" s="4">
        <v>2</v>
      </c>
      <c r="AJ682" s="4">
        <v>5</v>
      </c>
      <c r="AK682" s="4">
        <v>5</v>
      </c>
      <c r="AL682" s="4">
        <v>1</v>
      </c>
      <c r="AM682" s="4">
        <v>1</v>
      </c>
      <c r="AN682" s="4">
        <v>0</v>
      </c>
      <c r="AO682" s="4">
        <v>0</v>
      </c>
      <c r="AP682" s="3" t="s">
        <v>61</v>
      </c>
      <c r="AQ682" s="3" t="s">
        <v>59</v>
      </c>
      <c r="AR682" s="6" t="str">
        <f t="shared" si="12"/>
        <v>HathiTrust Record</v>
      </c>
      <c r="AS682" s="6" t="str">
        <f t="shared" si="13"/>
        <v>Catalog Record</v>
      </c>
      <c r="AT682" s="6" t="str">
        <f t="shared" si="14"/>
        <v>WorldCat Record</v>
      </c>
      <c r="AU682" s="3" t="s">
        <v>7501</v>
      </c>
      <c r="AV682" s="3" t="s">
        <v>7502</v>
      </c>
      <c r="AW682" s="3" t="s">
        <v>7503</v>
      </c>
      <c r="AX682" s="3" t="s">
        <v>7503</v>
      </c>
      <c r="AY682" s="3" t="s">
        <v>7504</v>
      </c>
      <c r="AZ682" s="3" t="s">
        <v>75</v>
      </c>
      <c r="BC682" s="3" t="s">
        <v>7635</v>
      </c>
      <c r="BD682" s="3" t="s">
        <v>7636</v>
      </c>
    </row>
    <row r="683" spans="1:56" ht="44.25" customHeight="1" x14ac:dyDescent="0.25">
      <c r="A683" s="7" t="s">
        <v>61</v>
      </c>
      <c r="B683" s="2" t="s">
        <v>7494</v>
      </c>
      <c r="C683" s="2" t="s">
        <v>7495</v>
      </c>
      <c r="D683" s="2" t="s">
        <v>7496</v>
      </c>
      <c r="E683" s="3" t="s">
        <v>7637</v>
      </c>
      <c r="F683" s="3" t="s">
        <v>59</v>
      </c>
      <c r="G683" s="3" t="s">
        <v>60</v>
      </c>
      <c r="H683" s="3" t="s">
        <v>61</v>
      </c>
      <c r="I683" s="3" t="s">
        <v>61</v>
      </c>
      <c r="J683" s="3" t="s">
        <v>62</v>
      </c>
      <c r="K683" s="2" t="s">
        <v>7498</v>
      </c>
      <c r="L683" s="2" t="s">
        <v>7499</v>
      </c>
      <c r="M683" s="3" t="s">
        <v>5326</v>
      </c>
      <c r="O683" s="3" t="s">
        <v>114</v>
      </c>
      <c r="P683" s="3" t="s">
        <v>67</v>
      </c>
      <c r="R683" s="3" t="s">
        <v>68</v>
      </c>
      <c r="S683" s="4">
        <v>0</v>
      </c>
      <c r="T683" s="4">
        <v>8</v>
      </c>
      <c r="V683" s="5" t="s">
        <v>7500</v>
      </c>
      <c r="W683" s="5" t="s">
        <v>1638</v>
      </c>
      <c r="X683" s="5" t="s">
        <v>1638</v>
      </c>
      <c r="Y683" s="4">
        <v>141</v>
      </c>
      <c r="Z683" s="4">
        <v>140</v>
      </c>
      <c r="AA683" s="4">
        <v>146</v>
      </c>
      <c r="AB683" s="4">
        <v>2</v>
      </c>
      <c r="AC683" s="4">
        <v>2</v>
      </c>
      <c r="AD683" s="4">
        <v>11</v>
      </c>
      <c r="AE683" s="4">
        <v>11</v>
      </c>
      <c r="AF683" s="4">
        <v>6</v>
      </c>
      <c r="AG683" s="4">
        <v>6</v>
      </c>
      <c r="AH683" s="4">
        <v>2</v>
      </c>
      <c r="AI683" s="4">
        <v>2</v>
      </c>
      <c r="AJ683" s="4">
        <v>5</v>
      </c>
      <c r="AK683" s="4">
        <v>5</v>
      </c>
      <c r="AL683" s="4">
        <v>1</v>
      </c>
      <c r="AM683" s="4">
        <v>1</v>
      </c>
      <c r="AN683" s="4">
        <v>0</v>
      </c>
      <c r="AO683" s="4">
        <v>0</v>
      </c>
      <c r="AP683" s="3" t="s">
        <v>61</v>
      </c>
      <c r="AQ683" s="3" t="s">
        <v>59</v>
      </c>
      <c r="AR683" s="6" t="str">
        <f t="shared" si="12"/>
        <v>HathiTrust Record</v>
      </c>
      <c r="AS683" s="6" t="str">
        <f t="shared" si="13"/>
        <v>Catalog Record</v>
      </c>
      <c r="AT683" s="6" t="str">
        <f t="shared" si="14"/>
        <v>WorldCat Record</v>
      </c>
      <c r="AU683" s="3" t="s">
        <v>7501</v>
      </c>
      <c r="AV683" s="3" t="s">
        <v>7502</v>
      </c>
      <c r="AW683" s="3" t="s">
        <v>7503</v>
      </c>
      <c r="AX683" s="3" t="s">
        <v>7503</v>
      </c>
      <c r="AY683" s="3" t="s">
        <v>7504</v>
      </c>
      <c r="AZ683" s="3" t="s">
        <v>75</v>
      </c>
      <c r="BC683" s="3" t="s">
        <v>7638</v>
      </c>
      <c r="BD683" s="3" t="s">
        <v>7639</v>
      </c>
    </row>
    <row r="684" spans="1:56" ht="44.25" customHeight="1" x14ac:dyDescent="0.25">
      <c r="A684" s="7" t="s">
        <v>61</v>
      </c>
      <c r="B684" s="2" t="s">
        <v>7494</v>
      </c>
      <c r="C684" s="2" t="s">
        <v>7495</v>
      </c>
      <c r="D684" s="2" t="s">
        <v>7496</v>
      </c>
      <c r="E684" s="3" t="s">
        <v>96</v>
      </c>
      <c r="F684" s="3" t="s">
        <v>59</v>
      </c>
      <c r="G684" s="3" t="s">
        <v>60</v>
      </c>
      <c r="H684" s="3" t="s">
        <v>61</v>
      </c>
      <c r="I684" s="3" t="s">
        <v>61</v>
      </c>
      <c r="J684" s="3" t="s">
        <v>62</v>
      </c>
      <c r="K684" s="2" t="s">
        <v>7498</v>
      </c>
      <c r="L684" s="2" t="s">
        <v>7499</v>
      </c>
      <c r="M684" s="3" t="s">
        <v>5326</v>
      </c>
      <c r="O684" s="3" t="s">
        <v>114</v>
      </c>
      <c r="P684" s="3" t="s">
        <v>67</v>
      </c>
      <c r="R684" s="3" t="s">
        <v>68</v>
      </c>
      <c r="S684" s="4">
        <v>0</v>
      </c>
      <c r="T684" s="4">
        <v>8</v>
      </c>
      <c r="V684" s="5" t="s">
        <v>7500</v>
      </c>
      <c r="W684" s="5" t="s">
        <v>1638</v>
      </c>
      <c r="X684" s="5" t="s">
        <v>1638</v>
      </c>
      <c r="Y684" s="4">
        <v>141</v>
      </c>
      <c r="Z684" s="4">
        <v>140</v>
      </c>
      <c r="AA684" s="4">
        <v>146</v>
      </c>
      <c r="AB684" s="4">
        <v>2</v>
      </c>
      <c r="AC684" s="4">
        <v>2</v>
      </c>
      <c r="AD684" s="4">
        <v>11</v>
      </c>
      <c r="AE684" s="4">
        <v>11</v>
      </c>
      <c r="AF684" s="4">
        <v>6</v>
      </c>
      <c r="AG684" s="4">
        <v>6</v>
      </c>
      <c r="AH684" s="4">
        <v>2</v>
      </c>
      <c r="AI684" s="4">
        <v>2</v>
      </c>
      <c r="AJ684" s="4">
        <v>5</v>
      </c>
      <c r="AK684" s="4">
        <v>5</v>
      </c>
      <c r="AL684" s="4">
        <v>1</v>
      </c>
      <c r="AM684" s="4">
        <v>1</v>
      </c>
      <c r="AN684" s="4">
        <v>0</v>
      </c>
      <c r="AO684" s="4">
        <v>0</v>
      </c>
      <c r="AP684" s="3" t="s">
        <v>61</v>
      </c>
      <c r="AQ684" s="3" t="s">
        <v>59</v>
      </c>
      <c r="AR684" s="6" t="str">
        <f t="shared" si="12"/>
        <v>HathiTrust Record</v>
      </c>
      <c r="AS684" s="6" t="str">
        <f t="shared" si="13"/>
        <v>Catalog Record</v>
      </c>
      <c r="AT684" s="6" t="str">
        <f t="shared" si="14"/>
        <v>WorldCat Record</v>
      </c>
      <c r="AU684" s="3" t="s">
        <v>7501</v>
      </c>
      <c r="AV684" s="3" t="s">
        <v>7502</v>
      </c>
      <c r="AW684" s="3" t="s">
        <v>7503</v>
      </c>
      <c r="AX684" s="3" t="s">
        <v>7503</v>
      </c>
      <c r="AY684" s="3" t="s">
        <v>7504</v>
      </c>
      <c r="AZ684" s="3" t="s">
        <v>75</v>
      </c>
      <c r="BC684" s="3" t="s">
        <v>7640</v>
      </c>
      <c r="BD684" s="3" t="s">
        <v>7641</v>
      </c>
    </row>
    <row r="685" spans="1:56" ht="44.25" customHeight="1" x14ac:dyDescent="0.25">
      <c r="A685" s="7" t="s">
        <v>61</v>
      </c>
      <c r="B685" s="2" t="s">
        <v>7494</v>
      </c>
      <c r="C685" s="2" t="s">
        <v>7495</v>
      </c>
      <c r="D685" s="2" t="s">
        <v>7496</v>
      </c>
      <c r="E685" s="3" t="s">
        <v>7642</v>
      </c>
      <c r="F685" s="3" t="s">
        <v>59</v>
      </c>
      <c r="G685" s="3" t="s">
        <v>60</v>
      </c>
      <c r="H685" s="3" t="s">
        <v>61</v>
      </c>
      <c r="I685" s="3" t="s">
        <v>61</v>
      </c>
      <c r="J685" s="3" t="s">
        <v>62</v>
      </c>
      <c r="K685" s="2" t="s">
        <v>7498</v>
      </c>
      <c r="L685" s="2" t="s">
        <v>7499</v>
      </c>
      <c r="M685" s="3" t="s">
        <v>5326</v>
      </c>
      <c r="O685" s="3" t="s">
        <v>114</v>
      </c>
      <c r="P685" s="3" t="s">
        <v>67</v>
      </c>
      <c r="R685" s="3" t="s">
        <v>68</v>
      </c>
      <c r="S685" s="4">
        <v>0</v>
      </c>
      <c r="T685" s="4">
        <v>8</v>
      </c>
      <c r="V685" s="5" t="s">
        <v>7500</v>
      </c>
      <c r="W685" s="5" t="s">
        <v>1638</v>
      </c>
      <c r="X685" s="5" t="s">
        <v>1638</v>
      </c>
      <c r="Y685" s="4">
        <v>141</v>
      </c>
      <c r="Z685" s="4">
        <v>140</v>
      </c>
      <c r="AA685" s="4">
        <v>146</v>
      </c>
      <c r="AB685" s="4">
        <v>2</v>
      </c>
      <c r="AC685" s="4">
        <v>2</v>
      </c>
      <c r="AD685" s="4">
        <v>11</v>
      </c>
      <c r="AE685" s="4">
        <v>11</v>
      </c>
      <c r="AF685" s="4">
        <v>6</v>
      </c>
      <c r="AG685" s="4">
        <v>6</v>
      </c>
      <c r="AH685" s="4">
        <v>2</v>
      </c>
      <c r="AI685" s="4">
        <v>2</v>
      </c>
      <c r="AJ685" s="4">
        <v>5</v>
      </c>
      <c r="AK685" s="4">
        <v>5</v>
      </c>
      <c r="AL685" s="4">
        <v>1</v>
      </c>
      <c r="AM685" s="4">
        <v>1</v>
      </c>
      <c r="AN685" s="4">
        <v>0</v>
      </c>
      <c r="AO685" s="4">
        <v>0</v>
      </c>
      <c r="AP685" s="3" t="s">
        <v>61</v>
      </c>
      <c r="AQ685" s="3" t="s">
        <v>59</v>
      </c>
      <c r="AR685" s="6" t="str">
        <f t="shared" si="12"/>
        <v>HathiTrust Record</v>
      </c>
      <c r="AS685" s="6" t="str">
        <f t="shared" si="13"/>
        <v>Catalog Record</v>
      </c>
      <c r="AT685" s="6" t="str">
        <f t="shared" si="14"/>
        <v>WorldCat Record</v>
      </c>
      <c r="AU685" s="3" t="s">
        <v>7501</v>
      </c>
      <c r="AV685" s="3" t="s">
        <v>7502</v>
      </c>
      <c r="AW685" s="3" t="s">
        <v>7503</v>
      </c>
      <c r="AX685" s="3" t="s">
        <v>7503</v>
      </c>
      <c r="AY685" s="3" t="s">
        <v>7504</v>
      </c>
      <c r="AZ685" s="3" t="s">
        <v>75</v>
      </c>
      <c r="BC685" s="3" t="s">
        <v>7643</v>
      </c>
      <c r="BD685" s="3" t="s">
        <v>7644</v>
      </c>
    </row>
    <row r="686" spans="1:56" ht="44.25" customHeight="1" x14ac:dyDescent="0.25">
      <c r="A686" s="7" t="s">
        <v>61</v>
      </c>
      <c r="B686" s="2" t="s">
        <v>7494</v>
      </c>
      <c r="C686" s="2" t="s">
        <v>7495</v>
      </c>
      <c r="D686" s="2" t="s">
        <v>7496</v>
      </c>
      <c r="E686" s="3" t="s">
        <v>7645</v>
      </c>
      <c r="F686" s="3" t="s">
        <v>59</v>
      </c>
      <c r="G686" s="3" t="s">
        <v>60</v>
      </c>
      <c r="H686" s="3" t="s">
        <v>61</v>
      </c>
      <c r="I686" s="3" t="s">
        <v>61</v>
      </c>
      <c r="J686" s="3" t="s">
        <v>62</v>
      </c>
      <c r="K686" s="2" t="s">
        <v>7498</v>
      </c>
      <c r="L686" s="2" t="s">
        <v>7499</v>
      </c>
      <c r="M686" s="3" t="s">
        <v>5326</v>
      </c>
      <c r="O686" s="3" t="s">
        <v>114</v>
      </c>
      <c r="P686" s="3" t="s">
        <v>67</v>
      </c>
      <c r="R686" s="3" t="s">
        <v>68</v>
      </c>
      <c r="S686" s="4">
        <v>1</v>
      </c>
      <c r="T686" s="4">
        <v>8</v>
      </c>
      <c r="V686" s="5" t="s">
        <v>7500</v>
      </c>
      <c r="W686" s="5" t="s">
        <v>1638</v>
      </c>
      <c r="X686" s="5" t="s">
        <v>1638</v>
      </c>
      <c r="Y686" s="4">
        <v>141</v>
      </c>
      <c r="Z686" s="4">
        <v>140</v>
      </c>
      <c r="AA686" s="4">
        <v>146</v>
      </c>
      <c r="AB686" s="4">
        <v>2</v>
      </c>
      <c r="AC686" s="4">
        <v>2</v>
      </c>
      <c r="AD686" s="4">
        <v>11</v>
      </c>
      <c r="AE686" s="4">
        <v>11</v>
      </c>
      <c r="AF686" s="4">
        <v>6</v>
      </c>
      <c r="AG686" s="4">
        <v>6</v>
      </c>
      <c r="AH686" s="4">
        <v>2</v>
      </c>
      <c r="AI686" s="4">
        <v>2</v>
      </c>
      <c r="AJ686" s="4">
        <v>5</v>
      </c>
      <c r="AK686" s="4">
        <v>5</v>
      </c>
      <c r="AL686" s="4">
        <v>1</v>
      </c>
      <c r="AM686" s="4">
        <v>1</v>
      </c>
      <c r="AN686" s="4">
        <v>0</v>
      </c>
      <c r="AO686" s="4">
        <v>0</v>
      </c>
      <c r="AP686" s="3" t="s">
        <v>61</v>
      </c>
      <c r="AQ686" s="3" t="s">
        <v>59</v>
      </c>
      <c r="AR686" s="6" t="str">
        <f t="shared" si="12"/>
        <v>HathiTrust Record</v>
      </c>
      <c r="AS686" s="6" t="str">
        <f t="shared" si="13"/>
        <v>Catalog Record</v>
      </c>
      <c r="AT686" s="6" t="str">
        <f t="shared" si="14"/>
        <v>WorldCat Record</v>
      </c>
      <c r="AU686" s="3" t="s">
        <v>7501</v>
      </c>
      <c r="AV686" s="3" t="s">
        <v>7502</v>
      </c>
      <c r="AW686" s="3" t="s">
        <v>7503</v>
      </c>
      <c r="AX686" s="3" t="s">
        <v>7503</v>
      </c>
      <c r="AY686" s="3" t="s">
        <v>7504</v>
      </c>
      <c r="AZ686" s="3" t="s">
        <v>75</v>
      </c>
      <c r="BC686" s="3" t="s">
        <v>7646</v>
      </c>
      <c r="BD686" s="3" t="s">
        <v>7647</v>
      </c>
    </row>
    <row r="687" spans="1:56" ht="44.25" customHeight="1" x14ac:dyDescent="0.25">
      <c r="A687" s="7" t="s">
        <v>61</v>
      </c>
      <c r="B687" s="2" t="s">
        <v>7494</v>
      </c>
      <c r="C687" s="2" t="s">
        <v>7495</v>
      </c>
      <c r="D687" s="2" t="s">
        <v>7496</v>
      </c>
      <c r="E687" s="3" t="s">
        <v>7648</v>
      </c>
      <c r="F687" s="3" t="s">
        <v>59</v>
      </c>
      <c r="G687" s="3" t="s">
        <v>60</v>
      </c>
      <c r="H687" s="3" t="s">
        <v>61</v>
      </c>
      <c r="I687" s="3" t="s">
        <v>61</v>
      </c>
      <c r="J687" s="3" t="s">
        <v>62</v>
      </c>
      <c r="K687" s="2" t="s">
        <v>7498</v>
      </c>
      <c r="L687" s="2" t="s">
        <v>7499</v>
      </c>
      <c r="M687" s="3" t="s">
        <v>5326</v>
      </c>
      <c r="O687" s="3" t="s">
        <v>114</v>
      </c>
      <c r="P687" s="3" t="s">
        <v>67</v>
      </c>
      <c r="R687" s="3" t="s">
        <v>68</v>
      </c>
      <c r="S687" s="4">
        <v>0</v>
      </c>
      <c r="T687" s="4">
        <v>8</v>
      </c>
      <c r="V687" s="5" t="s">
        <v>7500</v>
      </c>
      <c r="W687" s="5" t="s">
        <v>1638</v>
      </c>
      <c r="X687" s="5" t="s">
        <v>1638</v>
      </c>
      <c r="Y687" s="4">
        <v>141</v>
      </c>
      <c r="Z687" s="4">
        <v>140</v>
      </c>
      <c r="AA687" s="4">
        <v>146</v>
      </c>
      <c r="AB687" s="4">
        <v>2</v>
      </c>
      <c r="AC687" s="4">
        <v>2</v>
      </c>
      <c r="AD687" s="4">
        <v>11</v>
      </c>
      <c r="AE687" s="4">
        <v>11</v>
      </c>
      <c r="AF687" s="4">
        <v>6</v>
      </c>
      <c r="AG687" s="4">
        <v>6</v>
      </c>
      <c r="AH687" s="4">
        <v>2</v>
      </c>
      <c r="AI687" s="4">
        <v>2</v>
      </c>
      <c r="AJ687" s="4">
        <v>5</v>
      </c>
      <c r="AK687" s="4">
        <v>5</v>
      </c>
      <c r="AL687" s="4">
        <v>1</v>
      </c>
      <c r="AM687" s="4">
        <v>1</v>
      </c>
      <c r="AN687" s="4">
        <v>0</v>
      </c>
      <c r="AO687" s="4">
        <v>0</v>
      </c>
      <c r="AP687" s="3" t="s">
        <v>61</v>
      </c>
      <c r="AQ687" s="3" t="s">
        <v>59</v>
      </c>
      <c r="AR687" s="6" t="str">
        <f t="shared" si="12"/>
        <v>HathiTrust Record</v>
      </c>
      <c r="AS687" s="6" t="str">
        <f t="shared" si="13"/>
        <v>Catalog Record</v>
      </c>
      <c r="AT687" s="6" t="str">
        <f t="shared" si="14"/>
        <v>WorldCat Record</v>
      </c>
      <c r="AU687" s="3" t="s">
        <v>7501</v>
      </c>
      <c r="AV687" s="3" t="s">
        <v>7502</v>
      </c>
      <c r="AW687" s="3" t="s">
        <v>7503</v>
      </c>
      <c r="AX687" s="3" t="s">
        <v>7503</v>
      </c>
      <c r="AY687" s="3" t="s">
        <v>7504</v>
      </c>
      <c r="AZ687" s="3" t="s">
        <v>75</v>
      </c>
      <c r="BC687" s="3" t="s">
        <v>7649</v>
      </c>
      <c r="BD687" s="3" t="s">
        <v>7650</v>
      </c>
    </row>
    <row r="688" spans="1:56" ht="44.25" customHeight="1" x14ac:dyDescent="0.25">
      <c r="A688" s="7" t="s">
        <v>61</v>
      </c>
      <c r="B688" s="2" t="s">
        <v>7651</v>
      </c>
      <c r="C688" s="2" t="s">
        <v>7652</v>
      </c>
      <c r="D688" s="2" t="s">
        <v>7653</v>
      </c>
      <c r="F688" s="3" t="s">
        <v>61</v>
      </c>
      <c r="G688" s="3" t="s">
        <v>60</v>
      </c>
      <c r="H688" s="3" t="s">
        <v>61</v>
      </c>
      <c r="I688" s="3" t="s">
        <v>61</v>
      </c>
      <c r="J688" s="3" t="s">
        <v>62</v>
      </c>
      <c r="K688" s="2" t="s">
        <v>7654</v>
      </c>
      <c r="L688" s="2" t="s">
        <v>7655</v>
      </c>
      <c r="M688" s="3" t="s">
        <v>350</v>
      </c>
      <c r="N688" s="2" t="s">
        <v>2621</v>
      </c>
      <c r="O688" s="3" t="s">
        <v>114</v>
      </c>
      <c r="P688" s="3" t="s">
        <v>192</v>
      </c>
      <c r="Q688" s="2" t="s">
        <v>7656</v>
      </c>
      <c r="R688" s="3" t="s">
        <v>68</v>
      </c>
      <c r="S688" s="4">
        <v>8</v>
      </c>
      <c r="T688" s="4">
        <v>8</v>
      </c>
      <c r="U688" s="5" t="s">
        <v>4654</v>
      </c>
      <c r="V688" s="5" t="s">
        <v>4654</v>
      </c>
      <c r="W688" s="5" t="s">
        <v>7657</v>
      </c>
      <c r="X688" s="5" t="s">
        <v>7657</v>
      </c>
      <c r="Y688" s="4">
        <v>282</v>
      </c>
      <c r="Z688" s="4">
        <v>189</v>
      </c>
      <c r="AA688" s="4">
        <v>637</v>
      </c>
      <c r="AB688" s="4">
        <v>2</v>
      </c>
      <c r="AC688" s="4">
        <v>5</v>
      </c>
      <c r="AD688" s="4">
        <v>10</v>
      </c>
      <c r="AE688" s="4">
        <v>27</v>
      </c>
      <c r="AF688" s="4">
        <v>4</v>
      </c>
      <c r="AG688" s="4">
        <v>10</v>
      </c>
      <c r="AH688" s="4">
        <v>5</v>
      </c>
      <c r="AI688" s="4">
        <v>9</v>
      </c>
      <c r="AJ688" s="4">
        <v>3</v>
      </c>
      <c r="AK688" s="4">
        <v>11</v>
      </c>
      <c r="AL688" s="4">
        <v>1</v>
      </c>
      <c r="AM688" s="4">
        <v>4</v>
      </c>
      <c r="AN688" s="4">
        <v>0</v>
      </c>
      <c r="AO688" s="4">
        <v>0</v>
      </c>
      <c r="AP688" s="3" t="s">
        <v>61</v>
      </c>
      <c r="AQ688" s="3" t="s">
        <v>61</v>
      </c>
      <c r="AS688" s="6" t="str">
        <f>HYPERLINK("https://creighton-primo.hosted.exlibrisgroup.com/primo-explore/search?tab=default_tab&amp;search_scope=EVERYTHING&amp;vid=01CRU&amp;lang=en_US&amp;offset=0&amp;query=any,contains,991004782079702656","Catalog Record")</f>
        <v>Catalog Record</v>
      </c>
      <c r="AT688" s="6" t="str">
        <f>HYPERLINK("http://www.worldcat.org/oclc/5120644","WorldCat Record")</f>
        <v>WorldCat Record</v>
      </c>
      <c r="AU688" s="3" t="s">
        <v>7658</v>
      </c>
      <c r="AV688" s="3" t="s">
        <v>7659</v>
      </c>
      <c r="AW688" s="3" t="s">
        <v>7660</v>
      </c>
      <c r="AX688" s="3" t="s">
        <v>7660</v>
      </c>
      <c r="AY688" s="3" t="s">
        <v>7661</v>
      </c>
      <c r="AZ688" s="3" t="s">
        <v>75</v>
      </c>
      <c r="BB688" s="3" t="s">
        <v>7662</v>
      </c>
      <c r="BC688" s="3" t="s">
        <v>7663</v>
      </c>
      <c r="BD688" s="3" t="s">
        <v>7664</v>
      </c>
    </row>
    <row r="689" spans="1:56" ht="44.25" customHeight="1" x14ac:dyDescent="0.25">
      <c r="A689" s="7" t="s">
        <v>61</v>
      </c>
      <c r="B689" s="2" t="s">
        <v>7665</v>
      </c>
      <c r="C689" s="2" t="s">
        <v>7666</v>
      </c>
      <c r="D689" s="2" t="s">
        <v>7667</v>
      </c>
      <c r="F689" s="3" t="s">
        <v>61</v>
      </c>
      <c r="G689" s="3" t="s">
        <v>60</v>
      </c>
      <c r="H689" s="3" t="s">
        <v>61</v>
      </c>
      <c r="I689" s="3" t="s">
        <v>61</v>
      </c>
      <c r="J689" s="3" t="s">
        <v>62</v>
      </c>
      <c r="K689" s="2" t="s">
        <v>7668</v>
      </c>
      <c r="L689" s="2" t="s">
        <v>7669</v>
      </c>
      <c r="M689" s="3" t="s">
        <v>1507</v>
      </c>
      <c r="O689" s="3" t="s">
        <v>114</v>
      </c>
      <c r="P689" s="3" t="s">
        <v>235</v>
      </c>
      <c r="R689" s="3" t="s">
        <v>68</v>
      </c>
      <c r="S689" s="4">
        <v>9</v>
      </c>
      <c r="T689" s="4">
        <v>9</v>
      </c>
      <c r="U689" s="5" t="s">
        <v>1650</v>
      </c>
      <c r="V689" s="5" t="s">
        <v>1650</v>
      </c>
      <c r="W689" s="5" t="s">
        <v>7670</v>
      </c>
      <c r="X689" s="5" t="s">
        <v>7670</v>
      </c>
      <c r="Y689" s="4">
        <v>678</v>
      </c>
      <c r="Z689" s="4">
        <v>661</v>
      </c>
      <c r="AA689" s="4">
        <v>831</v>
      </c>
      <c r="AB689" s="4">
        <v>3</v>
      </c>
      <c r="AC689" s="4">
        <v>4</v>
      </c>
      <c r="AD689" s="4">
        <v>17</v>
      </c>
      <c r="AE689" s="4">
        <v>21</v>
      </c>
      <c r="AF689" s="4">
        <v>4</v>
      </c>
      <c r="AG689" s="4">
        <v>6</v>
      </c>
      <c r="AH689" s="4">
        <v>5</v>
      </c>
      <c r="AI689" s="4">
        <v>5</v>
      </c>
      <c r="AJ689" s="4">
        <v>10</v>
      </c>
      <c r="AK689" s="4">
        <v>13</v>
      </c>
      <c r="AL689" s="4">
        <v>2</v>
      </c>
      <c r="AM689" s="4">
        <v>3</v>
      </c>
      <c r="AN689" s="4">
        <v>0</v>
      </c>
      <c r="AO689" s="4">
        <v>0</v>
      </c>
      <c r="AP689" s="3" t="s">
        <v>61</v>
      </c>
      <c r="AQ689" s="3" t="s">
        <v>61</v>
      </c>
      <c r="AS689" s="6" t="str">
        <f>HYPERLINK("https://creighton-primo.hosted.exlibrisgroup.com/primo-explore/search?tab=default_tab&amp;search_scope=EVERYTHING&amp;vid=01CRU&amp;lang=en_US&amp;offset=0&amp;query=any,contains,991003303029702656","Catalog Record")</f>
        <v>Catalog Record</v>
      </c>
      <c r="AT689" s="6" t="str">
        <f>HYPERLINK("http://www.worldcat.org/oclc/826106","WorldCat Record")</f>
        <v>WorldCat Record</v>
      </c>
      <c r="AU689" s="3" t="s">
        <v>7671</v>
      </c>
      <c r="AV689" s="3" t="s">
        <v>7672</v>
      </c>
      <c r="AW689" s="3" t="s">
        <v>7673</v>
      </c>
      <c r="AX689" s="3" t="s">
        <v>7673</v>
      </c>
      <c r="AY689" s="3" t="s">
        <v>7674</v>
      </c>
      <c r="AZ689" s="3" t="s">
        <v>75</v>
      </c>
      <c r="BB689" s="3" t="s">
        <v>7675</v>
      </c>
      <c r="BC689" s="3" t="s">
        <v>7676</v>
      </c>
      <c r="BD689" s="3" t="s">
        <v>7677</v>
      </c>
    </row>
    <row r="690" spans="1:56" ht="44.25" customHeight="1" x14ac:dyDescent="0.25">
      <c r="A690" s="7" t="s">
        <v>61</v>
      </c>
      <c r="B690" s="2" t="s">
        <v>7678</v>
      </c>
      <c r="C690" s="2" t="s">
        <v>7679</v>
      </c>
      <c r="D690" s="2" t="s">
        <v>7680</v>
      </c>
      <c r="F690" s="3" t="s">
        <v>61</v>
      </c>
      <c r="G690" s="3" t="s">
        <v>60</v>
      </c>
      <c r="H690" s="3" t="s">
        <v>61</v>
      </c>
      <c r="I690" s="3" t="s">
        <v>61</v>
      </c>
      <c r="J690" s="3" t="s">
        <v>62</v>
      </c>
      <c r="K690" s="2" t="s">
        <v>7681</v>
      </c>
      <c r="L690" s="2" t="s">
        <v>7682</v>
      </c>
      <c r="M690" s="3" t="s">
        <v>579</v>
      </c>
      <c r="O690" s="3" t="s">
        <v>114</v>
      </c>
      <c r="P690" s="3" t="s">
        <v>192</v>
      </c>
      <c r="Q690" s="2" t="s">
        <v>7683</v>
      </c>
      <c r="R690" s="3" t="s">
        <v>68</v>
      </c>
      <c r="S690" s="4">
        <v>12</v>
      </c>
      <c r="T690" s="4">
        <v>12</v>
      </c>
      <c r="U690" s="5" t="s">
        <v>4654</v>
      </c>
      <c r="V690" s="5" t="s">
        <v>4654</v>
      </c>
      <c r="W690" s="5" t="s">
        <v>5064</v>
      </c>
      <c r="X690" s="5" t="s">
        <v>5064</v>
      </c>
      <c r="Y690" s="4">
        <v>710</v>
      </c>
      <c r="Z690" s="4">
        <v>437</v>
      </c>
      <c r="AA690" s="4">
        <v>658</v>
      </c>
      <c r="AB690" s="4">
        <v>5</v>
      </c>
      <c r="AC690" s="4">
        <v>6</v>
      </c>
      <c r="AD690" s="4">
        <v>20</v>
      </c>
      <c r="AE690" s="4">
        <v>30</v>
      </c>
      <c r="AF690" s="4">
        <v>7</v>
      </c>
      <c r="AG690" s="4">
        <v>10</v>
      </c>
      <c r="AH690" s="4">
        <v>4</v>
      </c>
      <c r="AI690" s="4">
        <v>8</v>
      </c>
      <c r="AJ690" s="4">
        <v>10</v>
      </c>
      <c r="AK690" s="4">
        <v>15</v>
      </c>
      <c r="AL690" s="4">
        <v>4</v>
      </c>
      <c r="AM690" s="4">
        <v>5</v>
      </c>
      <c r="AN690" s="4">
        <v>0</v>
      </c>
      <c r="AO690" s="4">
        <v>0</v>
      </c>
      <c r="AP690" s="3" t="s">
        <v>61</v>
      </c>
      <c r="AQ690" s="3" t="s">
        <v>59</v>
      </c>
      <c r="AR690" s="6" t="str">
        <f>HYPERLINK("http://catalog.hathitrust.org/Record/000537950","HathiTrust Record")</f>
        <v>HathiTrust Record</v>
      </c>
      <c r="AS690" s="6" t="str">
        <f>HYPERLINK("https://creighton-primo.hosted.exlibrisgroup.com/primo-explore/search?tab=default_tab&amp;search_scope=EVERYTHING&amp;vid=01CRU&amp;lang=en_US&amp;offset=0&amp;query=any,contains,991000722389702656","Catalog Record")</f>
        <v>Catalog Record</v>
      </c>
      <c r="AT690" s="6" t="str">
        <f>HYPERLINK("http://www.worldcat.org/oclc/12668290","WorldCat Record")</f>
        <v>WorldCat Record</v>
      </c>
      <c r="AU690" s="3" t="s">
        <v>7684</v>
      </c>
      <c r="AV690" s="3" t="s">
        <v>7685</v>
      </c>
      <c r="AW690" s="3" t="s">
        <v>7686</v>
      </c>
      <c r="AX690" s="3" t="s">
        <v>7686</v>
      </c>
      <c r="AY690" s="3" t="s">
        <v>7687</v>
      </c>
      <c r="AZ690" s="3" t="s">
        <v>75</v>
      </c>
      <c r="BB690" s="3" t="s">
        <v>7688</v>
      </c>
      <c r="BC690" s="3" t="s">
        <v>7689</v>
      </c>
      <c r="BD690" s="3" t="s">
        <v>7690</v>
      </c>
    </row>
    <row r="691" spans="1:56" ht="44.25" customHeight="1" x14ac:dyDescent="0.25">
      <c r="A691" s="7" t="s">
        <v>61</v>
      </c>
      <c r="B691" s="2" t="s">
        <v>7691</v>
      </c>
      <c r="C691" s="2" t="s">
        <v>7692</v>
      </c>
      <c r="D691" s="2" t="s">
        <v>7693</v>
      </c>
      <c r="F691" s="3" t="s">
        <v>61</v>
      </c>
      <c r="G691" s="3" t="s">
        <v>60</v>
      </c>
      <c r="H691" s="3" t="s">
        <v>61</v>
      </c>
      <c r="I691" s="3" t="s">
        <v>61</v>
      </c>
      <c r="J691" s="3" t="s">
        <v>62</v>
      </c>
      <c r="K691" s="2" t="s">
        <v>7694</v>
      </c>
      <c r="L691" s="2" t="s">
        <v>7695</v>
      </c>
      <c r="M691" s="3" t="s">
        <v>2281</v>
      </c>
      <c r="O691" s="3" t="s">
        <v>114</v>
      </c>
      <c r="P691" s="3" t="s">
        <v>67</v>
      </c>
      <c r="Q691" s="2" t="s">
        <v>7696</v>
      </c>
      <c r="R691" s="3" t="s">
        <v>68</v>
      </c>
      <c r="S691" s="4">
        <v>12</v>
      </c>
      <c r="T691" s="4">
        <v>12</v>
      </c>
      <c r="U691" s="5" t="s">
        <v>1650</v>
      </c>
      <c r="V691" s="5" t="s">
        <v>1650</v>
      </c>
      <c r="W691" s="5" t="s">
        <v>5728</v>
      </c>
      <c r="X691" s="5" t="s">
        <v>5728</v>
      </c>
      <c r="Y691" s="4">
        <v>2090</v>
      </c>
      <c r="Z691" s="4">
        <v>1974</v>
      </c>
      <c r="AA691" s="4">
        <v>2664</v>
      </c>
      <c r="AB691" s="4">
        <v>21</v>
      </c>
      <c r="AC691" s="4">
        <v>25</v>
      </c>
      <c r="AD691" s="4">
        <v>23</v>
      </c>
      <c r="AE691" s="4">
        <v>33</v>
      </c>
      <c r="AF691" s="4">
        <v>7</v>
      </c>
      <c r="AG691" s="4">
        <v>13</v>
      </c>
      <c r="AH691" s="4">
        <v>2</v>
      </c>
      <c r="AI691" s="4">
        <v>3</v>
      </c>
      <c r="AJ691" s="4">
        <v>11</v>
      </c>
      <c r="AK691" s="4">
        <v>14</v>
      </c>
      <c r="AL691" s="4">
        <v>6</v>
      </c>
      <c r="AM691" s="4">
        <v>7</v>
      </c>
      <c r="AN691" s="4">
        <v>0</v>
      </c>
      <c r="AO691" s="4">
        <v>0</v>
      </c>
      <c r="AP691" s="3" t="s">
        <v>61</v>
      </c>
      <c r="AQ691" s="3" t="s">
        <v>61</v>
      </c>
      <c r="AS691" s="6" t="str">
        <f>HYPERLINK("https://creighton-primo.hosted.exlibrisgroup.com/primo-explore/search?tab=default_tab&amp;search_scope=EVERYTHING&amp;vid=01CRU&amp;lang=en_US&amp;offset=0&amp;query=any,contains,991004345639702656","Catalog Record")</f>
        <v>Catalog Record</v>
      </c>
      <c r="AT691" s="6" t="str">
        <f>HYPERLINK("http://www.worldcat.org/oclc/2575147","WorldCat Record")</f>
        <v>WorldCat Record</v>
      </c>
      <c r="AU691" s="3" t="s">
        <v>7697</v>
      </c>
      <c r="AV691" s="3" t="s">
        <v>7698</v>
      </c>
      <c r="AW691" s="3" t="s">
        <v>7699</v>
      </c>
      <c r="AX691" s="3" t="s">
        <v>7699</v>
      </c>
      <c r="AY691" s="3" t="s">
        <v>7700</v>
      </c>
      <c r="AZ691" s="3" t="s">
        <v>75</v>
      </c>
      <c r="BC691" s="3" t="s">
        <v>7701</v>
      </c>
      <c r="BD691" s="3" t="s">
        <v>7702</v>
      </c>
    </row>
    <row r="692" spans="1:56" ht="44.25" customHeight="1" x14ac:dyDescent="0.25">
      <c r="A692" s="7" t="s">
        <v>61</v>
      </c>
      <c r="B692" s="2" t="s">
        <v>7703</v>
      </c>
      <c r="C692" s="2" t="s">
        <v>7704</v>
      </c>
      <c r="D692" s="2" t="s">
        <v>7705</v>
      </c>
      <c r="F692" s="3" t="s">
        <v>61</v>
      </c>
      <c r="G692" s="3" t="s">
        <v>60</v>
      </c>
      <c r="H692" s="3" t="s">
        <v>61</v>
      </c>
      <c r="I692" s="3" t="s">
        <v>61</v>
      </c>
      <c r="J692" s="3" t="s">
        <v>62</v>
      </c>
      <c r="L692" s="2" t="s">
        <v>7706</v>
      </c>
      <c r="M692" s="3" t="s">
        <v>234</v>
      </c>
      <c r="O692" s="3" t="s">
        <v>114</v>
      </c>
      <c r="P692" s="3" t="s">
        <v>192</v>
      </c>
      <c r="R692" s="3" t="s">
        <v>68</v>
      </c>
      <c r="S692" s="4">
        <v>3</v>
      </c>
      <c r="T692" s="4">
        <v>3</v>
      </c>
      <c r="U692" s="5" t="s">
        <v>7707</v>
      </c>
      <c r="V692" s="5" t="s">
        <v>7707</v>
      </c>
      <c r="W692" s="5" t="s">
        <v>5728</v>
      </c>
      <c r="X692" s="5" t="s">
        <v>5728</v>
      </c>
      <c r="Y692" s="4">
        <v>686</v>
      </c>
      <c r="Z692" s="4">
        <v>480</v>
      </c>
      <c r="AA692" s="4">
        <v>482</v>
      </c>
      <c r="AB692" s="4">
        <v>6</v>
      </c>
      <c r="AC692" s="4">
        <v>6</v>
      </c>
      <c r="AD692" s="4">
        <v>29</v>
      </c>
      <c r="AE692" s="4">
        <v>29</v>
      </c>
      <c r="AF692" s="4">
        <v>10</v>
      </c>
      <c r="AG692" s="4">
        <v>10</v>
      </c>
      <c r="AH692" s="4">
        <v>7</v>
      </c>
      <c r="AI692" s="4">
        <v>7</v>
      </c>
      <c r="AJ692" s="4">
        <v>15</v>
      </c>
      <c r="AK692" s="4">
        <v>15</v>
      </c>
      <c r="AL692" s="4">
        <v>5</v>
      </c>
      <c r="AM692" s="4">
        <v>5</v>
      </c>
      <c r="AN692" s="4">
        <v>0</v>
      </c>
      <c r="AO692" s="4">
        <v>0</v>
      </c>
      <c r="AP692" s="3" t="s">
        <v>61</v>
      </c>
      <c r="AQ692" s="3" t="s">
        <v>61</v>
      </c>
      <c r="AS692" s="6" t="str">
        <f>HYPERLINK("https://creighton-primo.hosted.exlibrisgroup.com/primo-explore/search?tab=default_tab&amp;search_scope=EVERYTHING&amp;vid=01CRU&amp;lang=en_US&amp;offset=0&amp;query=any,contains,991000172189702656","Catalog Record")</f>
        <v>Catalog Record</v>
      </c>
      <c r="AT692" s="6" t="str">
        <f>HYPERLINK("http://www.worldcat.org/oclc/9324686","WorldCat Record")</f>
        <v>WorldCat Record</v>
      </c>
      <c r="AU692" s="3" t="s">
        <v>7708</v>
      </c>
      <c r="AV692" s="3" t="s">
        <v>7709</v>
      </c>
      <c r="AW692" s="3" t="s">
        <v>7710</v>
      </c>
      <c r="AX692" s="3" t="s">
        <v>7710</v>
      </c>
      <c r="AY692" s="3" t="s">
        <v>7711</v>
      </c>
      <c r="AZ692" s="3" t="s">
        <v>75</v>
      </c>
      <c r="BB692" s="3" t="s">
        <v>7712</v>
      </c>
      <c r="BC692" s="3" t="s">
        <v>7713</v>
      </c>
      <c r="BD692" s="3" t="s">
        <v>7714</v>
      </c>
    </row>
    <row r="693" spans="1:56" ht="44.25" customHeight="1" x14ac:dyDescent="0.25">
      <c r="A693" s="7" t="s">
        <v>61</v>
      </c>
      <c r="B693" s="2" t="s">
        <v>7715</v>
      </c>
      <c r="C693" s="2" t="s">
        <v>7716</v>
      </c>
      <c r="D693" s="2" t="s">
        <v>7717</v>
      </c>
      <c r="F693" s="3" t="s">
        <v>61</v>
      </c>
      <c r="G693" s="3" t="s">
        <v>60</v>
      </c>
      <c r="H693" s="3" t="s">
        <v>61</v>
      </c>
      <c r="I693" s="3" t="s">
        <v>61</v>
      </c>
      <c r="J693" s="3" t="s">
        <v>62</v>
      </c>
      <c r="K693" s="2" t="s">
        <v>7718</v>
      </c>
      <c r="L693" s="2" t="s">
        <v>7719</v>
      </c>
      <c r="M693" s="3" t="s">
        <v>7720</v>
      </c>
      <c r="O693" s="3" t="s">
        <v>114</v>
      </c>
      <c r="P693" s="3" t="s">
        <v>192</v>
      </c>
      <c r="R693" s="3" t="s">
        <v>68</v>
      </c>
      <c r="S693" s="4">
        <v>2</v>
      </c>
      <c r="T693" s="4">
        <v>2</v>
      </c>
      <c r="U693" s="5" t="s">
        <v>7208</v>
      </c>
      <c r="V693" s="5" t="s">
        <v>7208</v>
      </c>
      <c r="W693" s="5" t="s">
        <v>7196</v>
      </c>
      <c r="X693" s="5" t="s">
        <v>7196</v>
      </c>
      <c r="Y693" s="4">
        <v>675</v>
      </c>
      <c r="Z693" s="4">
        <v>617</v>
      </c>
      <c r="AA693" s="4">
        <v>904</v>
      </c>
      <c r="AB693" s="4">
        <v>7</v>
      </c>
      <c r="AC693" s="4">
        <v>10</v>
      </c>
      <c r="AD693" s="4">
        <v>33</v>
      </c>
      <c r="AE693" s="4">
        <v>48</v>
      </c>
      <c r="AF693" s="4">
        <v>13</v>
      </c>
      <c r="AG693" s="4">
        <v>20</v>
      </c>
      <c r="AH693" s="4">
        <v>5</v>
      </c>
      <c r="AI693" s="4">
        <v>7</v>
      </c>
      <c r="AJ693" s="4">
        <v>19</v>
      </c>
      <c r="AK693" s="4">
        <v>25</v>
      </c>
      <c r="AL693" s="4">
        <v>6</v>
      </c>
      <c r="AM693" s="4">
        <v>9</v>
      </c>
      <c r="AN693" s="4">
        <v>0</v>
      </c>
      <c r="AO693" s="4">
        <v>0</v>
      </c>
      <c r="AP693" s="3" t="s">
        <v>61</v>
      </c>
      <c r="AQ693" s="3" t="s">
        <v>59</v>
      </c>
      <c r="AR693" s="6" t="str">
        <f>HYPERLINK("http://catalog.hathitrust.org/Record/000488796","HathiTrust Record")</f>
        <v>HathiTrust Record</v>
      </c>
      <c r="AS693" s="6" t="str">
        <f>HYPERLINK("https://creighton-primo.hosted.exlibrisgroup.com/primo-explore/search?tab=default_tab&amp;search_scope=EVERYTHING&amp;vid=01CRU&amp;lang=en_US&amp;offset=0&amp;query=any,contains,991002670219702656","Catalog Record")</f>
        <v>Catalog Record</v>
      </c>
      <c r="AT693" s="6" t="str">
        <f>HYPERLINK("http://www.worldcat.org/oclc/394868","WorldCat Record")</f>
        <v>WorldCat Record</v>
      </c>
      <c r="AU693" s="3" t="s">
        <v>7721</v>
      </c>
      <c r="AV693" s="3" t="s">
        <v>7722</v>
      </c>
      <c r="AW693" s="3" t="s">
        <v>7723</v>
      </c>
      <c r="AX693" s="3" t="s">
        <v>7723</v>
      </c>
      <c r="AY693" s="3" t="s">
        <v>7724</v>
      </c>
      <c r="AZ693" s="3" t="s">
        <v>75</v>
      </c>
      <c r="BC693" s="3" t="s">
        <v>7725</v>
      </c>
      <c r="BD693" s="3" t="s">
        <v>7726</v>
      </c>
    </row>
    <row r="694" spans="1:56" ht="44.25" customHeight="1" x14ac:dyDescent="0.25">
      <c r="A694" s="7" t="s">
        <v>61</v>
      </c>
      <c r="B694" s="2" t="s">
        <v>7727</v>
      </c>
      <c r="C694" s="2" t="s">
        <v>7728</v>
      </c>
      <c r="D694" s="2" t="s">
        <v>7729</v>
      </c>
      <c r="F694" s="3" t="s">
        <v>61</v>
      </c>
      <c r="G694" s="3" t="s">
        <v>60</v>
      </c>
      <c r="H694" s="3" t="s">
        <v>61</v>
      </c>
      <c r="I694" s="3" t="s">
        <v>61</v>
      </c>
      <c r="J694" s="3" t="s">
        <v>62</v>
      </c>
      <c r="K694" s="2" t="s">
        <v>7730</v>
      </c>
      <c r="L694" s="2" t="s">
        <v>7731</v>
      </c>
      <c r="M694" s="3" t="s">
        <v>2391</v>
      </c>
      <c r="O694" s="3" t="s">
        <v>114</v>
      </c>
      <c r="P694" s="3" t="s">
        <v>192</v>
      </c>
      <c r="R694" s="3" t="s">
        <v>68</v>
      </c>
      <c r="S694" s="4">
        <v>3</v>
      </c>
      <c r="T694" s="4">
        <v>3</v>
      </c>
      <c r="U694" s="5" t="s">
        <v>4654</v>
      </c>
      <c r="V694" s="5" t="s">
        <v>4654</v>
      </c>
      <c r="W694" s="5" t="s">
        <v>7732</v>
      </c>
      <c r="X694" s="5" t="s">
        <v>7732</v>
      </c>
      <c r="Y694" s="4">
        <v>459</v>
      </c>
      <c r="Z694" s="4">
        <v>338</v>
      </c>
      <c r="AA694" s="4">
        <v>359</v>
      </c>
      <c r="AB694" s="4">
        <v>1</v>
      </c>
      <c r="AC694" s="4">
        <v>1</v>
      </c>
      <c r="AD694" s="4">
        <v>16</v>
      </c>
      <c r="AE694" s="4">
        <v>16</v>
      </c>
      <c r="AF694" s="4">
        <v>6</v>
      </c>
      <c r="AG694" s="4">
        <v>6</v>
      </c>
      <c r="AH694" s="4">
        <v>5</v>
      </c>
      <c r="AI694" s="4">
        <v>5</v>
      </c>
      <c r="AJ694" s="4">
        <v>9</v>
      </c>
      <c r="AK694" s="4">
        <v>9</v>
      </c>
      <c r="AL694" s="4">
        <v>0</v>
      </c>
      <c r="AM694" s="4">
        <v>0</v>
      </c>
      <c r="AN694" s="4">
        <v>0</v>
      </c>
      <c r="AO694" s="4">
        <v>0</v>
      </c>
      <c r="AP694" s="3" t="s">
        <v>61</v>
      </c>
      <c r="AQ694" s="3" t="s">
        <v>61</v>
      </c>
      <c r="AS694" s="6" t="str">
        <f>HYPERLINK("https://creighton-primo.hosted.exlibrisgroup.com/primo-explore/search?tab=default_tab&amp;search_scope=EVERYTHING&amp;vid=01CRU&amp;lang=en_US&amp;offset=0&amp;query=any,contains,991003967279702656","Catalog Record")</f>
        <v>Catalog Record</v>
      </c>
      <c r="AT694" s="6" t="str">
        <f>HYPERLINK("http://www.worldcat.org/oclc/45100459","WorldCat Record")</f>
        <v>WorldCat Record</v>
      </c>
      <c r="AU694" s="3" t="s">
        <v>7733</v>
      </c>
      <c r="AV694" s="3" t="s">
        <v>7734</v>
      </c>
      <c r="AW694" s="3" t="s">
        <v>7735</v>
      </c>
      <c r="AX694" s="3" t="s">
        <v>7735</v>
      </c>
      <c r="AY694" s="3" t="s">
        <v>7736</v>
      </c>
      <c r="AZ694" s="3" t="s">
        <v>75</v>
      </c>
      <c r="BB694" s="3" t="s">
        <v>7737</v>
      </c>
      <c r="BC694" s="3" t="s">
        <v>7738</v>
      </c>
      <c r="BD694" s="3" t="s">
        <v>7739</v>
      </c>
    </row>
    <row r="695" spans="1:56" ht="44.25" customHeight="1" x14ac:dyDescent="0.25">
      <c r="A695" s="7" t="s">
        <v>61</v>
      </c>
      <c r="B695" s="2" t="s">
        <v>7740</v>
      </c>
      <c r="C695" s="2" t="s">
        <v>7741</v>
      </c>
      <c r="D695" s="2" t="s">
        <v>7742</v>
      </c>
      <c r="F695" s="3" t="s">
        <v>61</v>
      </c>
      <c r="G695" s="3" t="s">
        <v>60</v>
      </c>
      <c r="H695" s="3" t="s">
        <v>61</v>
      </c>
      <c r="I695" s="3" t="s">
        <v>61</v>
      </c>
      <c r="J695" s="3" t="s">
        <v>62</v>
      </c>
      <c r="K695" s="2" t="s">
        <v>7078</v>
      </c>
      <c r="L695" s="2" t="s">
        <v>5262</v>
      </c>
      <c r="M695" s="3" t="s">
        <v>3279</v>
      </c>
      <c r="O695" s="3" t="s">
        <v>114</v>
      </c>
      <c r="P695" s="3" t="s">
        <v>235</v>
      </c>
      <c r="Q695" s="2" t="s">
        <v>2583</v>
      </c>
      <c r="R695" s="3" t="s">
        <v>68</v>
      </c>
      <c r="S695" s="4">
        <v>1</v>
      </c>
      <c r="T695" s="4">
        <v>1</v>
      </c>
      <c r="U695" s="5" t="s">
        <v>4654</v>
      </c>
      <c r="V695" s="5" t="s">
        <v>4654</v>
      </c>
      <c r="W695" s="5" t="s">
        <v>7196</v>
      </c>
      <c r="X695" s="5" t="s">
        <v>7196</v>
      </c>
      <c r="Y695" s="4">
        <v>450</v>
      </c>
      <c r="Z695" s="4">
        <v>347</v>
      </c>
      <c r="AA695" s="4">
        <v>350</v>
      </c>
      <c r="AB695" s="4">
        <v>3</v>
      </c>
      <c r="AC695" s="4">
        <v>3</v>
      </c>
      <c r="AD695" s="4">
        <v>14</v>
      </c>
      <c r="AE695" s="4">
        <v>14</v>
      </c>
      <c r="AF695" s="4">
        <v>5</v>
      </c>
      <c r="AG695" s="4">
        <v>5</v>
      </c>
      <c r="AH695" s="4">
        <v>3</v>
      </c>
      <c r="AI695" s="4">
        <v>3</v>
      </c>
      <c r="AJ695" s="4">
        <v>8</v>
      </c>
      <c r="AK695" s="4">
        <v>8</v>
      </c>
      <c r="AL695" s="4">
        <v>2</v>
      </c>
      <c r="AM695" s="4">
        <v>2</v>
      </c>
      <c r="AN695" s="4">
        <v>0</v>
      </c>
      <c r="AO695" s="4">
        <v>0</v>
      </c>
      <c r="AP695" s="3" t="s">
        <v>61</v>
      </c>
      <c r="AQ695" s="3" t="s">
        <v>59</v>
      </c>
      <c r="AR695" s="6" t="str">
        <f>HYPERLINK("http://catalog.hathitrust.org/Record/000039510","HathiTrust Record")</f>
        <v>HathiTrust Record</v>
      </c>
      <c r="AS695" s="6" t="str">
        <f>HYPERLINK("https://creighton-primo.hosted.exlibrisgroup.com/primo-explore/search?tab=default_tab&amp;search_scope=EVERYTHING&amp;vid=01CRU&amp;lang=en_US&amp;offset=0&amp;query=any,contains,991002841229702656","Catalog Record")</f>
        <v>Catalog Record</v>
      </c>
      <c r="AT695" s="6" t="str">
        <f>HYPERLINK("http://www.worldcat.org/oclc/482407","WorldCat Record")</f>
        <v>WorldCat Record</v>
      </c>
      <c r="AU695" s="3" t="s">
        <v>7743</v>
      </c>
      <c r="AV695" s="3" t="s">
        <v>7744</v>
      </c>
      <c r="AW695" s="3" t="s">
        <v>7745</v>
      </c>
      <c r="AX695" s="3" t="s">
        <v>7745</v>
      </c>
      <c r="AY695" s="3" t="s">
        <v>7746</v>
      </c>
      <c r="AZ695" s="3" t="s">
        <v>75</v>
      </c>
      <c r="BB695" s="3" t="s">
        <v>7747</v>
      </c>
      <c r="BC695" s="3" t="s">
        <v>7748</v>
      </c>
      <c r="BD695" s="3" t="s">
        <v>7749</v>
      </c>
    </row>
    <row r="696" spans="1:56" ht="44.25" customHeight="1" x14ac:dyDescent="0.25">
      <c r="A696" s="7" t="s">
        <v>61</v>
      </c>
      <c r="B696" s="2" t="s">
        <v>7750</v>
      </c>
      <c r="C696" s="2" t="s">
        <v>7751</v>
      </c>
      <c r="D696" s="2" t="s">
        <v>7752</v>
      </c>
      <c r="F696" s="3" t="s">
        <v>61</v>
      </c>
      <c r="G696" s="3" t="s">
        <v>60</v>
      </c>
      <c r="H696" s="3" t="s">
        <v>61</v>
      </c>
      <c r="I696" s="3" t="s">
        <v>61</v>
      </c>
      <c r="J696" s="3" t="s">
        <v>62</v>
      </c>
      <c r="L696" s="2" t="s">
        <v>7753</v>
      </c>
      <c r="M696" s="3" t="s">
        <v>579</v>
      </c>
      <c r="O696" s="3" t="s">
        <v>114</v>
      </c>
      <c r="P696" s="3" t="s">
        <v>115</v>
      </c>
      <c r="R696" s="3" t="s">
        <v>68</v>
      </c>
      <c r="S696" s="4">
        <v>11</v>
      </c>
      <c r="T696" s="4">
        <v>11</v>
      </c>
      <c r="U696" s="5" t="s">
        <v>4654</v>
      </c>
      <c r="V696" s="5" t="s">
        <v>4654</v>
      </c>
      <c r="W696" s="5" t="s">
        <v>7754</v>
      </c>
      <c r="X696" s="5" t="s">
        <v>7754</v>
      </c>
      <c r="Y696" s="4">
        <v>764</v>
      </c>
      <c r="Z696" s="4">
        <v>573</v>
      </c>
      <c r="AA696" s="4">
        <v>603</v>
      </c>
      <c r="AB696" s="4">
        <v>2</v>
      </c>
      <c r="AC696" s="4">
        <v>2</v>
      </c>
      <c r="AD696" s="4">
        <v>31</v>
      </c>
      <c r="AE696" s="4">
        <v>32</v>
      </c>
      <c r="AF696" s="4">
        <v>14</v>
      </c>
      <c r="AG696" s="4">
        <v>15</v>
      </c>
      <c r="AH696" s="4">
        <v>7</v>
      </c>
      <c r="AI696" s="4">
        <v>7</v>
      </c>
      <c r="AJ696" s="4">
        <v>19</v>
      </c>
      <c r="AK696" s="4">
        <v>19</v>
      </c>
      <c r="AL696" s="4">
        <v>1</v>
      </c>
      <c r="AM696" s="4">
        <v>1</v>
      </c>
      <c r="AN696" s="4">
        <v>0</v>
      </c>
      <c r="AO696" s="4">
        <v>0</v>
      </c>
      <c r="AP696" s="3" t="s">
        <v>61</v>
      </c>
      <c r="AQ696" s="3" t="s">
        <v>61</v>
      </c>
      <c r="AS696" s="6" t="str">
        <f>HYPERLINK("https://creighton-primo.hosted.exlibrisgroup.com/primo-explore/search?tab=default_tab&amp;search_scope=EVERYTHING&amp;vid=01CRU&amp;lang=en_US&amp;offset=0&amp;query=any,contains,991000713859702656","Catalog Record")</f>
        <v>Catalog Record</v>
      </c>
      <c r="AT696" s="6" t="str">
        <f>HYPERLINK("http://www.worldcat.org/oclc/12613235","WorldCat Record")</f>
        <v>WorldCat Record</v>
      </c>
      <c r="AU696" s="3" t="s">
        <v>7755</v>
      </c>
      <c r="AV696" s="3" t="s">
        <v>7756</v>
      </c>
      <c r="AW696" s="3" t="s">
        <v>7757</v>
      </c>
      <c r="AX696" s="3" t="s">
        <v>7757</v>
      </c>
      <c r="AY696" s="3" t="s">
        <v>7758</v>
      </c>
      <c r="AZ696" s="3" t="s">
        <v>75</v>
      </c>
      <c r="BB696" s="3" t="s">
        <v>7759</v>
      </c>
      <c r="BC696" s="3" t="s">
        <v>7760</v>
      </c>
      <c r="BD696" s="3" t="s">
        <v>7761</v>
      </c>
    </row>
    <row r="697" spans="1:56" ht="44.25" customHeight="1" x14ac:dyDescent="0.25">
      <c r="A697" s="7" t="s">
        <v>61</v>
      </c>
      <c r="B697" s="2" t="s">
        <v>7762</v>
      </c>
      <c r="C697" s="2" t="s">
        <v>7763</v>
      </c>
      <c r="D697" s="2" t="s">
        <v>7764</v>
      </c>
      <c r="F697" s="3" t="s">
        <v>61</v>
      </c>
      <c r="G697" s="3" t="s">
        <v>60</v>
      </c>
      <c r="H697" s="3" t="s">
        <v>61</v>
      </c>
      <c r="I697" s="3" t="s">
        <v>61</v>
      </c>
      <c r="J697" s="3" t="s">
        <v>62</v>
      </c>
      <c r="L697" s="2" t="s">
        <v>7765</v>
      </c>
      <c r="M697" s="3" t="s">
        <v>1976</v>
      </c>
      <c r="O697" s="3" t="s">
        <v>114</v>
      </c>
      <c r="P697" s="3" t="s">
        <v>192</v>
      </c>
      <c r="R697" s="3" t="s">
        <v>68</v>
      </c>
      <c r="S697" s="4">
        <v>4</v>
      </c>
      <c r="T697" s="4">
        <v>4</v>
      </c>
      <c r="U697" s="5" t="s">
        <v>1730</v>
      </c>
      <c r="V697" s="5" t="s">
        <v>1730</v>
      </c>
      <c r="W697" s="5" t="s">
        <v>7766</v>
      </c>
      <c r="X697" s="5" t="s">
        <v>7766</v>
      </c>
      <c r="Y697" s="4">
        <v>418</v>
      </c>
      <c r="Z697" s="4">
        <v>299</v>
      </c>
      <c r="AA697" s="4">
        <v>378</v>
      </c>
      <c r="AB697" s="4">
        <v>3</v>
      </c>
      <c r="AC697" s="4">
        <v>3</v>
      </c>
      <c r="AD697" s="4">
        <v>16</v>
      </c>
      <c r="AE697" s="4">
        <v>17</v>
      </c>
      <c r="AF697" s="4">
        <v>5</v>
      </c>
      <c r="AG697" s="4">
        <v>6</v>
      </c>
      <c r="AH697" s="4">
        <v>5</v>
      </c>
      <c r="AI697" s="4">
        <v>5</v>
      </c>
      <c r="AJ697" s="4">
        <v>9</v>
      </c>
      <c r="AK697" s="4">
        <v>9</v>
      </c>
      <c r="AL697" s="4">
        <v>2</v>
      </c>
      <c r="AM697" s="4">
        <v>2</v>
      </c>
      <c r="AN697" s="4">
        <v>0</v>
      </c>
      <c r="AO697" s="4">
        <v>0</v>
      </c>
      <c r="AP697" s="3" t="s">
        <v>61</v>
      </c>
      <c r="AQ697" s="3" t="s">
        <v>61</v>
      </c>
      <c r="AS697" s="6" t="str">
        <f>HYPERLINK("https://creighton-primo.hosted.exlibrisgroup.com/primo-explore/search?tab=default_tab&amp;search_scope=EVERYTHING&amp;vid=01CRU&amp;lang=en_US&amp;offset=0&amp;query=any,contains,991004360199702656","Catalog Record")</f>
        <v>Catalog Record</v>
      </c>
      <c r="AT697" s="6" t="str">
        <f>HYPERLINK("http://www.worldcat.org/oclc/51848611","WorldCat Record")</f>
        <v>WorldCat Record</v>
      </c>
      <c r="AU697" s="3" t="s">
        <v>7767</v>
      </c>
      <c r="AV697" s="3" t="s">
        <v>7768</v>
      </c>
      <c r="AW697" s="3" t="s">
        <v>7769</v>
      </c>
      <c r="AX697" s="3" t="s">
        <v>7769</v>
      </c>
      <c r="AY697" s="3" t="s">
        <v>7770</v>
      </c>
      <c r="AZ697" s="3" t="s">
        <v>75</v>
      </c>
      <c r="BB697" s="3" t="s">
        <v>7771</v>
      </c>
      <c r="BC697" s="3" t="s">
        <v>7772</v>
      </c>
      <c r="BD697" s="3" t="s">
        <v>7773</v>
      </c>
    </row>
    <row r="698" spans="1:56" ht="44.25" customHeight="1" x14ac:dyDescent="0.25">
      <c r="A698" s="7" t="s">
        <v>61</v>
      </c>
      <c r="B698" s="2" t="s">
        <v>7774</v>
      </c>
      <c r="C698" s="2" t="s">
        <v>7775</v>
      </c>
      <c r="D698" s="2" t="s">
        <v>7776</v>
      </c>
      <c r="F698" s="3" t="s">
        <v>61</v>
      </c>
      <c r="G698" s="3" t="s">
        <v>60</v>
      </c>
      <c r="H698" s="3" t="s">
        <v>61</v>
      </c>
      <c r="I698" s="3" t="s">
        <v>61</v>
      </c>
      <c r="J698" s="3" t="s">
        <v>62</v>
      </c>
      <c r="K698" s="2" t="s">
        <v>7777</v>
      </c>
      <c r="L698" s="2" t="s">
        <v>421</v>
      </c>
      <c r="M698" s="3" t="s">
        <v>422</v>
      </c>
      <c r="N698" s="2" t="s">
        <v>2877</v>
      </c>
      <c r="O698" s="3" t="s">
        <v>114</v>
      </c>
      <c r="P698" s="3" t="s">
        <v>192</v>
      </c>
      <c r="Q698" s="2" t="s">
        <v>523</v>
      </c>
      <c r="R698" s="3" t="s">
        <v>68</v>
      </c>
      <c r="S698" s="4">
        <v>5</v>
      </c>
      <c r="T698" s="4">
        <v>5</v>
      </c>
      <c r="U698" s="5" t="s">
        <v>7778</v>
      </c>
      <c r="V698" s="5" t="s">
        <v>7778</v>
      </c>
      <c r="W698" s="5" t="s">
        <v>7779</v>
      </c>
      <c r="X698" s="5" t="s">
        <v>7779</v>
      </c>
      <c r="Y698" s="4">
        <v>164</v>
      </c>
      <c r="Z698" s="4">
        <v>119</v>
      </c>
      <c r="AA698" s="4">
        <v>359</v>
      </c>
      <c r="AB698" s="4">
        <v>1</v>
      </c>
      <c r="AC698" s="4">
        <v>1</v>
      </c>
      <c r="AD698" s="4">
        <v>4</v>
      </c>
      <c r="AE698" s="4">
        <v>9</v>
      </c>
      <c r="AF698" s="4">
        <v>0</v>
      </c>
      <c r="AG698" s="4">
        <v>1</v>
      </c>
      <c r="AH698" s="4">
        <v>2</v>
      </c>
      <c r="AI698" s="4">
        <v>3</v>
      </c>
      <c r="AJ698" s="4">
        <v>3</v>
      </c>
      <c r="AK698" s="4">
        <v>8</v>
      </c>
      <c r="AL698" s="4">
        <v>0</v>
      </c>
      <c r="AM698" s="4">
        <v>0</v>
      </c>
      <c r="AN698" s="4">
        <v>0</v>
      </c>
      <c r="AO698" s="4">
        <v>0</v>
      </c>
      <c r="AP698" s="3" t="s">
        <v>61</v>
      </c>
      <c r="AQ698" s="3" t="s">
        <v>59</v>
      </c>
      <c r="AR698" s="6" t="str">
        <f>HYPERLINK("http://catalog.hathitrust.org/Record/004309427","HathiTrust Record")</f>
        <v>HathiTrust Record</v>
      </c>
      <c r="AS698" s="6" t="str">
        <f>HYPERLINK("https://creighton-primo.hosted.exlibrisgroup.com/primo-explore/search?tab=default_tab&amp;search_scope=EVERYTHING&amp;vid=01CRU&amp;lang=en_US&amp;offset=0&amp;query=any,contains,991002862389702656","Catalog Record")</f>
        <v>Catalog Record</v>
      </c>
      <c r="AT698" s="6" t="str">
        <f>HYPERLINK("http://www.worldcat.org/oclc/37725499","WorldCat Record")</f>
        <v>WorldCat Record</v>
      </c>
      <c r="AU698" s="3" t="s">
        <v>7780</v>
      </c>
      <c r="AV698" s="3" t="s">
        <v>7781</v>
      </c>
      <c r="AW698" s="3" t="s">
        <v>7782</v>
      </c>
      <c r="AX698" s="3" t="s">
        <v>7782</v>
      </c>
      <c r="AY698" s="3" t="s">
        <v>7783</v>
      </c>
      <c r="AZ698" s="3" t="s">
        <v>75</v>
      </c>
      <c r="BB698" s="3" t="s">
        <v>7784</v>
      </c>
      <c r="BC698" s="3" t="s">
        <v>7785</v>
      </c>
      <c r="BD698" s="3" t="s">
        <v>7786</v>
      </c>
    </row>
    <row r="699" spans="1:56" ht="44.25" customHeight="1" x14ac:dyDescent="0.25">
      <c r="A699" s="7" t="s">
        <v>61</v>
      </c>
      <c r="B699" s="2" t="s">
        <v>7787</v>
      </c>
      <c r="C699" s="2" t="s">
        <v>7788</v>
      </c>
      <c r="D699" s="2" t="s">
        <v>7789</v>
      </c>
      <c r="F699" s="3" t="s">
        <v>61</v>
      </c>
      <c r="G699" s="3" t="s">
        <v>60</v>
      </c>
      <c r="H699" s="3" t="s">
        <v>61</v>
      </c>
      <c r="I699" s="3" t="s">
        <v>61</v>
      </c>
      <c r="J699" s="3" t="s">
        <v>62</v>
      </c>
      <c r="K699" s="2" t="s">
        <v>7790</v>
      </c>
      <c r="L699" s="2" t="s">
        <v>7791</v>
      </c>
      <c r="M699" s="3" t="s">
        <v>755</v>
      </c>
      <c r="O699" s="3" t="s">
        <v>114</v>
      </c>
      <c r="P699" s="3" t="s">
        <v>192</v>
      </c>
      <c r="R699" s="3" t="s">
        <v>68</v>
      </c>
      <c r="S699" s="4">
        <v>3</v>
      </c>
      <c r="T699" s="4">
        <v>3</v>
      </c>
      <c r="U699" s="5" t="s">
        <v>4654</v>
      </c>
      <c r="V699" s="5" t="s">
        <v>4654</v>
      </c>
      <c r="W699" s="5" t="s">
        <v>7792</v>
      </c>
      <c r="X699" s="5" t="s">
        <v>7792</v>
      </c>
      <c r="Y699" s="4">
        <v>625</v>
      </c>
      <c r="Z699" s="4">
        <v>379</v>
      </c>
      <c r="AA699" s="4">
        <v>411</v>
      </c>
      <c r="AB699" s="4">
        <v>6</v>
      </c>
      <c r="AC699" s="4">
        <v>7</v>
      </c>
      <c r="AD699" s="4">
        <v>26</v>
      </c>
      <c r="AE699" s="4">
        <v>27</v>
      </c>
      <c r="AF699" s="4">
        <v>9</v>
      </c>
      <c r="AG699" s="4">
        <v>9</v>
      </c>
      <c r="AH699" s="4">
        <v>7</v>
      </c>
      <c r="AI699" s="4">
        <v>7</v>
      </c>
      <c r="AJ699" s="4">
        <v>12</v>
      </c>
      <c r="AK699" s="4">
        <v>12</v>
      </c>
      <c r="AL699" s="4">
        <v>5</v>
      </c>
      <c r="AM699" s="4">
        <v>6</v>
      </c>
      <c r="AN699" s="4">
        <v>0</v>
      </c>
      <c r="AO699" s="4">
        <v>0</v>
      </c>
      <c r="AP699" s="3" t="s">
        <v>61</v>
      </c>
      <c r="AQ699" s="3" t="s">
        <v>61</v>
      </c>
      <c r="AS699" s="6" t="str">
        <f>HYPERLINK("https://creighton-primo.hosted.exlibrisgroup.com/primo-explore/search?tab=default_tab&amp;search_scope=EVERYTHING&amp;vid=01CRU&amp;lang=en_US&amp;offset=0&amp;query=any,contains,991000821619702656","Catalog Record")</f>
        <v>Catalog Record</v>
      </c>
      <c r="AT699" s="6" t="str">
        <f>HYPERLINK("http://www.worldcat.org/oclc/145089","WorldCat Record")</f>
        <v>WorldCat Record</v>
      </c>
      <c r="AU699" s="3" t="s">
        <v>7793</v>
      </c>
      <c r="AV699" s="3" t="s">
        <v>7794</v>
      </c>
      <c r="AW699" s="3" t="s">
        <v>7795</v>
      </c>
      <c r="AX699" s="3" t="s">
        <v>7795</v>
      </c>
      <c r="AY699" s="3" t="s">
        <v>7796</v>
      </c>
      <c r="AZ699" s="3" t="s">
        <v>75</v>
      </c>
      <c r="BB699" s="3" t="s">
        <v>7797</v>
      </c>
      <c r="BC699" s="3" t="s">
        <v>7798</v>
      </c>
      <c r="BD699" s="3" t="s">
        <v>7799</v>
      </c>
    </row>
    <row r="700" spans="1:56" ht="44.25" customHeight="1" x14ac:dyDescent="0.25">
      <c r="A700" s="7" t="s">
        <v>61</v>
      </c>
      <c r="B700" s="2" t="s">
        <v>7800</v>
      </c>
      <c r="C700" s="2" t="s">
        <v>7801</v>
      </c>
      <c r="D700" s="2" t="s">
        <v>7802</v>
      </c>
      <c r="F700" s="3" t="s">
        <v>61</v>
      </c>
      <c r="G700" s="3" t="s">
        <v>60</v>
      </c>
      <c r="H700" s="3" t="s">
        <v>61</v>
      </c>
      <c r="I700" s="3" t="s">
        <v>61</v>
      </c>
      <c r="J700" s="3" t="s">
        <v>62</v>
      </c>
      <c r="K700" s="2" t="s">
        <v>7803</v>
      </c>
      <c r="L700" s="2" t="s">
        <v>7804</v>
      </c>
      <c r="M700" s="3" t="s">
        <v>334</v>
      </c>
      <c r="O700" s="3" t="s">
        <v>114</v>
      </c>
      <c r="P700" s="3" t="s">
        <v>235</v>
      </c>
      <c r="R700" s="3" t="s">
        <v>68</v>
      </c>
      <c r="S700" s="4">
        <v>4</v>
      </c>
      <c r="T700" s="4">
        <v>4</v>
      </c>
      <c r="U700" s="5" t="s">
        <v>7805</v>
      </c>
      <c r="V700" s="5" t="s">
        <v>7805</v>
      </c>
      <c r="W700" s="5" t="s">
        <v>6928</v>
      </c>
      <c r="X700" s="5" t="s">
        <v>6928</v>
      </c>
      <c r="Y700" s="4">
        <v>909</v>
      </c>
      <c r="Z700" s="4">
        <v>835</v>
      </c>
      <c r="AA700" s="4">
        <v>887</v>
      </c>
      <c r="AB700" s="4">
        <v>7</v>
      </c>
      <c r="AC700" s="4">
        <v>7</v>
      </c>
      <c r="AD700" s="4">
        <v>21</v>
      </c>
      <c r="AE700" s="4">
        <v>25</v>
      </c>
      <c r="AF700" s="4">
        <v>6</v>
      </c>
      <c r="AG700" s="4">
        <v>8</v>
      </c>
      <c r="AH700" s="4">
        <v>6</v>
      </c>
      <c r="AI700" s="4">
        <v>6</v>
      </c>
      <c r="AJ700" s="4">
        <v>10</v>
      </c>
      <c r="AK700" s="4">
        <v>13</v>
      </c>
      <c r="AL700" s="4">
        <v>5</v>
      </c>
      <c r="AM700" s="4">
        <v>5</v>
      </c>
      <c r="AN700" s="4">
        <v>0</v>
      </c>
      <c r="AO700" s="4">
        <v>0</v>
      </c>
      <c r="AP700" s="3" t="s">
        <v>61</v>
      </c>
      <c r="AQ700" s="3" t="s">
        <v>59</v>
      </c>
      <c r="AR700" s="6" t="str">
        <f>HYPERLINK("http://catalog.hathitrust.org/Record/000882674","HathiTrust Record")</f>
        <v>HathiTrust Record</v>
      </c>
      <c r="AS700" s="6" t="str">
        <f>HYPERLINK("https://creighton-primo.hosted.exlibrisgroup.com/primo-explore/search?tab=default_tab&amp;search_scope=EVERYTHING&amp;vid=01CRU&amp;lang=en_US&amp;offset=0&amp;query=any,contains,991001028719702656","Catalog Record")</f>
        <v>Catalog Record</v>
      </c>
      <c r="AT700" s="6" t="str">
        <f>HYPERLINK("http://www.worldcat.org/oclc/15489313","WorldCat Record")</f>
        <v>WorldCat Record</v>
      </c>
      <c r="AU700" s="3" t="s">
        <v>7806</v>
      </c>
      <c r="AV700" s="3" t="s">
        <v>7807</v>
      </c>
      <c r="AW700" s="3" t="s">
        <v>7808</v>
      </c>
      <c r="AX700" s="3" t="s">
        <v>7808</v>
      </c>
      <c r="AY700" s="3" t="s">
        <v>7809</v>
      </c>
      <c r="AZ700" s="3" t="s">
        <v>75</v>
      </c>
      <c r="BB700" s="3" t="s">
        <v>7810</v>
      </c>
      <c r="BC700" s="3" t="s">
        <v>7811</v>
      </c>
      <c r="BD700" s="3" t="s">
        <v>7812</v>
      </c>
    </row>
    <row r="701" spans="1:56" ht="44.25" customHeight="1" x14ac:dyDescent="0.25">
      <c r="A701" s="7" t="s">
        <v>61</v>
      </c>
      <c r="B701" s="2" t="s">
        <v>7813</v>
      </c>
      <c r="C701" s="2" t="s">
        <v>7814</v>
      </c>
      <c r="D701" s="2" t="s">
        <v>7815</v>
      </c>
      <c r="F701" s="3" t="s">
        <v>61</v>
      </c>
      <c r="G701" s="3" t="s">
        <v>60</v>
      </c>
      <c r="H701" s="3" t="s">
        <v>61</v>
      </c>
      <c r="I701" s="3" t="s">
        <v>61</v>
      </c>
      <c r="J701" s="3" t="s">
        <v>62</v>
      </c>
      <c r="K701" s="2" t="s">
        <v>7816</v>
      </c>
      <c r="L701" s="2" t="s">
        <v>7817</v>
      </c>
      <c r="M701" s="3" t="s">
        <v>707</v>
      </c>
      <c r="O701" s="3" t="s">
        <v>114</v>
      </c>
      <c r="P701" s="3" t="s">
        <v>192</v>
      </c>
      <c r="Q701" s="2" t="s">
        <v>7818</v>
      </c>
      <c r="R701" s="3" t="s">
        <v>68</v>
      </c>
      <c r="S701" s="4">
        <v>2</v>
      </c>
      <c r="T701" s="4">
        <v>2</v>
      </c>
      <c r="U701" s="5" t="s">
        <v>7819</v>
      </c>
      <c r="V701" s="5" t="s">
        <v>7819</v>
      </c>
      <c r="W701" s="5" t="s">
        <v>7820</v>
      </c>
      <c r="X701" s="5" t="s">
        <v>7820</v>
      </c>
      <c r="Y701" s="4">
        <v>840</v>
      </c>
      <c r="Z701" s="4">
        <v>643</v>
      </c>
      <c r="AA701" s="4">
        <v>789</v>
      </c>
      <c r="AB701" s="4">
        <v>5</v>
      </c>
      <c r="AC701" s="4">
        <v>5</v>
      </c>
      <c r="AD701" s="4">
        <v>34</v>
      </c>
      <c r="AE701" s="4">
        <v>39</v>
      </c>
      <c r="AF701" s="4">
        <v>14</v>
      </c>
      <c r="AG701" s="4">
        <v>17</v>
      </c>
      <c r="AH701" s="4">
        <v>7</v>
      </c>
      <c r="AI701" s="4">
        <v>8</v>
      </c>
      <c r="AJ701" s="4">
        <v>18</v>
      </c>
      <c r="AK701" s="4">
        <v>20</v>
      </c>
      <c r="AL701" s="4">
        <v>4</v>
      </c>
      <c r="AM701" s="4">
        <v>4</v>
      </c>
      <c r="AN701" s="4">
        <v>0</v>
      </c>
      <c r="AO701" s="4">
        <v>0</v>
      </c>
      <c r="AP701" s="3" t="s">
        <v>61</v>
      </c>
      <c r="AQ701" s="3" t="s">
        <v>59</v>
      </c>
      <c r="AR701" s="6" t="str">
        <f>HYPERLINK("http://catalog.hathitrust.org/Record/000488624","HathiTrust Record")</f>
        <v>HathiTrust Record</v>
      </c>
      <c r="AS701" s="6" t="str">
        <f>HYPERLINK("https://creighton-primo.hosted.exlibrisgroup.com/primo-explore/search?tab=default_tab&amp;search_scope=EVERYTHING&amp;vid=01CRU&amp;lang=en_US&amp;offset=0&amp;query=any,contains,991002669909702656","Catalog Record")</f>
        <v>Catalog Record</v>
      </c>
      <c r="AT701" s="6" t="str">
        <f>HYPERLINK("http://www.worldcat.org/oclc/394768","WorldCat Record")</f>
        <v>WorldCat Record</v>
      </c>
      <c r="AU701" s="3" t="s">
        <v>7821</v>
      </c>
      <c r="AV701" s="3" t="s">
        <v>7822</v>
      </c>
      <c r="AW701" s="3" t="s">
        <v>7823</v>
      </c>
      <c r="AX701" s="3" t="s">
        <v>7823</v>
      </c>
      <c r="AY701" s="3" t="s">
        <v>7824</v>
      </c>
      <c r="AZ701" s="3" t="s">
        <v>75</v>
      </c>
      <c r="BC701" s="3" t="s">
        <v>7825</v>
      </c>
      <c r="BD701" s="3" t="s">
        <v>7826</v>
      </c>
    </row>
    <row r="702" spans="1:56" ht="44.25" customHeight="1" x14ac:dyDescent="0.25">
      <c r="A702" s="7" t="s">
        <v>61</v>
      </c>
      <c r="B702" s="2" t="s">
        <v>7827</v>
      </c>
      <c r="C702" s="2" t="s">
        <v>7828</v>
      </c>
      <c r="D702" s="2" t="s">
        <v>7829</v>
      </c>
      <c r="F702" s="3" t="s">
        <v>61</v>
      </c>
      <c r="G702" s="3" t="s">
        <v>60</v>
      </c>
      <c r="H702" s="3" t="s">
        <v>61</v>
      </c>
      <c r="I702" s="3" t="s">
        <v>61</v>
      </c>
      <c r="J702" s="3" t="s">
        <v>62</v>
      </c>
      <c r="K702" s="2" t="s">
        <v>7830</v>
      </c>
      <c r="L702" s="2" t="s">
        <v>7831</v>
      </c>
      <c r="M702" s="3" t="s">
        <v>3365</v>
      </c>
      <c r="O702" s="3" t="s">
        <v>114</v>
      </c>
      <c r="P702" s="3" t="s">
        <v>235</v>
      </c>
      <c r="R702" s="3" t="s">
        <v>68</v>
      </c>
      <c r="S702" s="4">
        <v>13</v>
      </c>
      <c r="T702" s="4">
        <v>13</v>
      </c>
      <c r="U702" s="5" t="s">
        <v>4654</v>
      </c>
      <c r="V702" s="5" t="s">
        <v>4654</v>
      </c>
      <c r="W702" s="5" t="s">
        <v>7832</v>
      </c>
      <c r="X702" s="5" t="s">
        <v>7832</v>
      </c>
      <c r="Y702" s="4">
        <v>137</v>
      </c>
      <c r="Z702" s="4">
        <v>123</v>
      </c>
      <c r="AA702" s="4">
        <v>125</v>
      </c>
      <c r="AB702" s="4">
        <v>4</v>
      </c>
      <c r="AC702" s="4">
        <v>4</v>
      </c>
      <c r="AD702" s="4">
        <v>8</v>
      </c>
      <c r="AE702" s="4">
        <v>8</v>
      </c>
      <c r="AF702" s="4">
        <v>2</v>
      </c>
      <c r="AG702" s="4">
        <v>2</v>
      </c>
      <c r="AH702" s="4">
        <v>2</v>
      </c>
      <c r="AI702" s="4">
        <v>2</v>
      </c>
      <c r="AJ702" s="4">
        <v>3</v>
      </c>
      <c r="AK702" s="4">
        <v>3</v>
      </c>
      <c r="AL702" s="4">
        <v>3</v>
      </c>
      <c r="AM702" s="4">
        <v>3</v>
      </c>
      <c r="AN702" s="4">
        <v>0</v>
      </c>
      <c r="AO702" s="4">
        <v>0</v>
      </c>
      <c r="AP702" s="3" t="s">
        <v>61</v>
      </c>
      <c r="AQ702" s="3" t="s">
        <v>61</v>
      </c>
      <c r="AS702" s="6" t="str">
        <f>HYPERLINK("https://creighton-primo.hosted.exlibrisgroup.com/primo-explore/search?tab=default_tab&amp;search_scope=EVERYTHING&amp;vid=01CRU&amp;lang=en_US&amp;offset=0&amp;query=any,contains,991002670189702656","Catalog Record")</f>
        <v>Catalog Record</v>
      </c>
      <c r="AT702" s="6" t="str">
        <f>HYPERLINK("http://www.worldcat.org/oclc/394866","WorldCat Record")</f>
        <v>WorldCat Record</v>
      </c>
      <c r="AU702" s="3" t="s">
        <v>7833</v>
      </c>
      <c r="AV702" s="3" t="s">
        <v>7834</v>
      </c>
      <c r="AW702" s="3" t="s">
        <v>7835</v>
      </c>
      <c r="AX702" s="3" t="s">
        <v>7835</v>
      </c>
      <c r="AY702" s="3" t="s">
        <v>7836</v>
      </c>
      <c r="AZ702" s="3" t="s">
        <v>75</v>
      </c>
      <c r="BC702" s="3" t="s">
        <v>7837</v>
      </c>
      <c r="BD702" s="3" t="s">
        <v>7838</v>
      </c>
    </row>
    <row r="703" spans="1:56" ht="44.25" customHeight="1" x14ac:dyDescent="0.25">
      <c r="A703" s="7" t="s">
        <v>61</v>
      </c>
      <c r="B703" s="2" t="s">
        <v>7839</v>
      </c>
      <c r="C703" s="2" t="s">
        <v>7840</v>
      </c>
      <c r="D703" s="2" t="s">
        <v>7841</v>
      </c>
      <c r="F703" s="3" t="s">
        <v>61</v>
      </c>
      <c r="G703" s="3" t="s">
        <v>60</v>
      </c>
      <c r="H703" s="3" t="s">
        <v>61</v>
      </c>
      <c r="I703" s="3" t="s">
        <v>61</v>
      </c>
      <c r="J703" s="3" t="s">
        <v>62</v>
      </c>
      <c r="K703" s="2" t="s">
        <v>7842</v>
      </c>
      <c r="L703" s="2" t="s">
        <v>4149</v>
      </c>
      <c r="M703" s="3" t="s">
        <v>495</v>
      </c>
      <c r="O703" s="3" t="s">
        <v>114</v>
      </c>
      <c r="P703" s="3" t="s">
        <v>235</v>
      </c>
      <c r="Q703" s="2" t="s">
        <v>6976</v>
      </c>
      <c r="R703" s="3" t="s">
        <v>68</v>
      </c>
      <c r="S703" s="4">
        <v>1</v>
      </c>
      <c r="T703" s="4">
        <v>1</v>
      </c>
      <c r="U703" s="5" t="s">
        <v>7843</v>
      </c>
      <c r="V703" s="5" t="s">
        <v>7843</v>
      </c>
      <c r="W703" s="5" t="s">
        <v>4152</v>
      </c>
      <c r="X703" s="5" t="s">
        <v>4152</v>
      </c>
      <c r="Y703" s="4">
        <v>627</v>
      </c>
      <c r="Z703" s="4">
        <v>554</v>
      </c>
      <c r="AA703" s="4">
        <v>554</v>
      </c>
      <c r="AB703" s="4">
        <v>4</v>
      </c>
      <c r="AC703" s="4">
        <v>4</v>
      </c>
      <c r="AD703" s="4">
        <v>31</v>
      </c>
      <c r="AE703" s="4">
        <v>31</v>
      </c>
      <c r="AF703" s="4">
        <v>14</v>
      </c>
      <c r="AG703" s="4">
        <v>14</v>
      </c>
      <c r="AH703" s="4">
        <v>7</v>
      </c>
      <c r="AI703" s="4">
        <v>7</v>
      </c>
      <c r="AJ703" s="4">
        <v>16</v>
      </c>
      <c r="AK703" s="4">
        <v>16</v>
      </c>
      <c r="AL703" s="4">
        <v>3</v>
      </c>
      <c r="AM703" s="4">
        <v>3</v>
      </c>
      <c r="AN703" s="4">
        <v>0</v>
      </c>
      <c r="AO703" s="4">
        <v>0</v>
      </c>
      <c r="AP703" s="3" t="s">
        <v>61</v>
      </c>
      <c r="AQ703" s="3" t="s">
        <v>61</v>
      </c>
      <c r="AS703" s="6" t="str">
        <f>HYPERLINK("https://creighton-primo.hosted.exlibrisgroup.com/primo-explore/search?tab=default_tab&amp;search_scope=EVERYTHING&amp;vid=01CRU&amp;lang=en_US&amp;offset=0&amp;query=any,contains,991002615589702656","Catalog Record")</f>
        <v>Catalog Record</v>
      </c>
      <c r="AT703" s="6" t="str">
        <f>HYPERLINK("http://www.worldcat.org/oclc/34283484","WorldCat Record")</f>
        <v>WorldCat Record</v>
      </c>
      <c r="AU703" s="3" t="s">
        <v>7844</v>
      </c>
      <c r="AV703" s="3" t="s">
        <v>7845</v>
      </c>
      <c r="AW703" s="3" t="s">
        <v>7846</v>
      </c>
      <c r="AX703" s="3" t="s">
        <v>7846</v>
      </c>
      <c r="AY703" s="3" t="s">
        <v>7847</v>
      </c>
      <c r="AZ703" s="3" t="s">
        <v>75</v>
      </c>
      <c r="BB703" s="3" t="s">
        <v>7848</v>
      </c>
      <c r="BC703" s="3" t="s">
        <v>7849</v>
      </c>
      <c r="BD703" s="3" t="s">
        <v>7850</v>
      </c>
    </row>
    <row r="704" spans="1:56" ht="44.25" customHeight="1" x14ac:dyDescent="0.25">
      <c r="A704" s="7" t="s">
        <v>61</v>
      </c>
      <c r="B704" s="2" t="s">
        <v>7851</v>
      </c>
      <c r="C704" s="2" t="s">
        <v>7852</v>
      </c>
      <c r="D704" s="2" t="s">
        <v>7853</v>
      </c>
      <c r="F704" s="3" t="s">
        <v>61</v>
      </c>
      <c r="G704" s="3" t="s">
        <v>60</v>
      </c>
      <c r="H704" s="3" t="s">
        <v>61</v>
      </c>
      <c r="I704" s="3" t="s">
        <v>61</v>
      </c>
      <c r="J704" s="3" t="s">
        <v>62</v>
      </c>
      <c r="K704" s="2" t="s">
        <v>7854</v>
      </c>
      <c r="L704" s="2" t="s">
        <v>7855</v>
      </c>
      <c r="M704" s="3" t="s">
        <v>1571</v>
      </c>
      <c r="O704" s="3" t="s">
        <v>114</v>
      </c>
      <c r="P704" s="3" t="s">
        <v>115</v>
      </c>
      <c r="Q704" s="2" t="s">
        <v>3402</v>
      </c>
      <c r="R704" s="3" t="s">
        <v>68</v>
      </c>
      <c r="S704" s="4">
        <v>2</v>
      </c>
      <c r="T704" s="4">
        <v>2</v>
      </c>
      <c r="U704" s="5" t="s">
        <v>4654</v>
      </c>
      <c r="V704" s="5" t="s">
        <v>4654</v>
      </c>
      <c r="W704" s="5" t="s">
        <v>7856</v>
      </c>
      <c r="X704" s="5" t="s">
        <v>7856</v>
      </c>
      <c r="Y704" s="4">
        <v>1021</v>
      </c>
      <c r="Z704" s="4">
        <v>849</v>
      </c>
      <c r="AA704" s="4">
        <v>860</v>
      </c>
      <c r="AB704" s="4">
        <v>9</v>
      </c>
      <c r="AC704" s="4">
        <v>9</v>
      </c>
      <c r="AD704" s="4">
        <v>38</v>
      </c>
      <c r="AE704" s="4">
        <v>38</v>
      </c>
      <c r="AF704" s="4">
        <v>15</v>
      </c>
      <c r="AG704" s="4">
        <v>15</v>
      </c>
      <c r="AH704" s="4">
        <v>5</v>
      </c>
      <c r="AI704" s="4">
        <v>5</v>
      </c>
      <c r="AJ704" s="4">
        <v>19</v>
      </c>
      <c r="AK704" s="4">
        <v>19</v>
      </c>
      <c r="AL704" s="4">
        <v>8</v>
      </c>
      <c r="AM704" s="4">
        <v>8</v>
      </c>
      <c r="AN704" s="4">
        <v>0</v>
      </c>
      <c r="AO704" s="4">
        <v>0</v>
      </c>
      <c r="AP704" s="3" t="s">
        <v>61</v>
      </c>
      <c r="AQ704" s="3" t="s">
        <v>61</v>
      </c>
      <c r="AS704" s="6" t="str">
        <f>HYPERLINK("https://creighton-primo.hosted.exlibrisgroup.com/primo-explore/search?tab=default_tab&amp;search_scope=EVERYTHING&amp;vid=01CRU&amp;lang=en_US&amp;offset=0&amp;query=any,contains,991001963039702656","Catalog Record")</f>
        <v>Catalog Record</v>
      </c>
      <c r="AT704" s="6" t="str">
        <f>HYPERLINK("http://www.worldcat.org/oclc/253651","WorldCat Record")</f>
        <v>WorldCat Record</v>
      </c>
      <c r="AU704" s="3" t="s">
        <v>7857</v>
      </c>
      <c r="AV704" s="3" t="s">
        <v>7858</v>
      </c>
      <c r="AW704" s="3" t="s">
        <v>7859</v>
      </c>
      <c r="AX704" s="3" t="s">
        <v>7859</v>
      </c>
      <c r="AY704" s="3" t="s">
        <v>7860</v>
      </c>
      <c r="AZ704" s="3" t="s">
        <v>75</v>
      </c>
      <c r="BC704" s="3" t="s">
        <v>7861</v>
      </c>
      <c r="BD704" s="3" t="s">
        <v>7862</v>
      </c>
    </row>
    <row r="705" spans="1:56" ht="44.25" customHeight="1" x14ac:dyDescent="0.25">
      <c r="A705" s="7" t="s">
        <v>61</v>
      </c>
      <c r="B705" s="2" t="s">
        <v>7863</v>
      </c>
      <c r="C705" s="2" t="s">
        <v>7864</v>
      </c>
      <c r="D705" s="2" t="s">
        <v>7865</v>
      </c>
      <c r="F705" s="3" t="s">
        <v>61</v>
      </c>
      <c r="G705" s="3" t="s">
        <v>60</v>
      </c>
      <c r="H705" s="3" t="s">
        <v>61</v>
      </c>
      <c r="I705" s="3" t="s">
        <v>61</v>
      </c>
      <c r="J705" s="3" t="s">
        <v>62</v>
      </c>
      <c r="K705" s="2" t="s">
        <v>7866</v>
      </c>
      <c r="L705" s="2" t="s">
        <v>7867</v>
      </c>
      <c r="M705" s="3" t="s">
        <v>1507</v>
      </c>
      <c r="O705" s="3" t="s">
        <v>114</v>
      </c>
      <c r="P705" s="3" t="s">
        <v>115</v>
      </c>
      <c r="Q705" s="2" t="s">
        <v>7868</v>
      </c>
      <c r="R705" s="3" t="s">
        <v>68</v>
      </c>
      <c r="S705" s="4">
        <v>8</v>
      </c>
      <c r="T705" s="4">
        <v>8</v>
      </c>
      <c r="U705" s="5" t="s">
        <v>7869</v>
      </c>
      <c r="V705" s="5" t="s">
        <v>7869</v>
      </c>
      <c r="W705" s="5" t="s">
        <v>7870</v>
      </c>
      <c r="X705" s="5" t="s">
        <v>7870</v>
      </c>
      <c r="Y705" s="4">
        <v>837</v>
      </c>
      <c r="Z705" s="4">
        <v>694</v>
      </c>
      <c r="AA705" s="4">
        <v>704</v>
      </c>
      <c r="AB705" s="4">
        <v>6</v>
      </c>
      <c r="AC705" s="4">
        <v>6</v>
      </c>
      <c r="AD705" s="4">
        <v>34</v>
      </c>
      <c r="AE705" s="4">
        <v>34</v>
      </c>
      <c r="AF705" s="4">
        <v>14</v>
      </c>
      <c r="AG705" s="4">
        <v>14</v>
      </c>
      <c r="AH705" s="4">
        <v>9</v>
      </c>
      <c r="AI705" s="4">
        <v>9</v>
      </c>
      <c r="AJ705" s="4">
        <v>14</v>
      </c>
      <c r="AK705" s="4">
        <v>14</v>
      </c>
      <c r="AL705" s="4">
        <v>5</v>
      </c>
      <c r="AM705" s="4">
        <v>5</v>
      </c>
      <c r="AN705" s="4">
        <v>0</v>
      </c>
      <c r="AO705" s="4">
        <v>0</v>
      </c>
      <c r="AP705" s="3" t="s">
        <v>61</v>
      </c>
      <c r="AQ705" s="3" t="s">
        <v>59</v>
      </c>
      <c r="AR705" s="6" t="str">
        <f>HYPERLINK("http://catalog.hathitrust.org/Record/000488319","HathiTrust Record")</f>
        <v>HathiTrust Record</v>
      </c>
      <c r="AS705" s="6" t="str">
        <f>HYPERLINK("https://creighton-primo.hosted.exlibrisgroup.com/primo-explore/search?tab=default_tab&amp;search_scope=EVERYTHING&amp;vid=01CRU&amp;lang=en_US&amp;offset=0&amp;query=any,contains,991003444339702656","Catalog Record")</f>
        <v>Catalog Record</v>
      </c>
      <c r="AT705" s="6" t="str">
        <f>HYPERLINK("http://www.worldcat.org/oclc/980082","WorldCat Record")</f>
        <v>WorldCat Record</v>
      </c>
      <c r="AU705" s="3" t="s">
        <v>7871</v>
      </c>
      <c r="AV705" s="3" t="s">
        <v>7872</v>
      </c>
      <c r="AW705" s="3" t="s">
        <v>7873</v>
      </c>
      <c r="AX705" s="3" t="s">
        <v>7873</v>
      </c>
      <c r="AY705" s="3" t="s">
        <v>7874</v>
      </c>
      <c r="AZ705" s="3" t="s">
        <v>75</v>
      </c>
      <c r="BB705" s="3" t="s">
        <v>7875</v>
      </c>
      <c r="BC705" s="3" t="s">
        <v>7876</v>
      </c>
      <c r="BD705" s="3" t="s">
        <v>7877</v>
      </c>
    </row>
    <row r="706" spans="1:56" ht="44.25" customHeight="1" x14ac:dyDescent="0.25">
      <c r="A706" s="7" t="s">
        <v>61</v>
      </c>
      <c r="B706" s="2" t="s">
        <v>7878</v>
      </c>
      <c r="C706" s="2" t="s">
        <v>7879</v>
      </c>
      <c r="D706" s="2" t="s">
        <v>7880</v>
      </c>
      <c r="F706" s="3" t="s">
        <v>61</v>
      </c>
      <c r="G706" s="3" t="s">
        <v>60</v>
      </c>
      <c r="H706" s="3" t="s">
        <v>61</v>
      </c>
      <c r="I706" s="3" t="s">
        <v>61</v>
      </c>
      <c r="J706" s="3" t="s">
        <v>62</v>
      </c>
      <c r="K706" s="2" t="s">
        <v>7881</v>
      </c>
      <c r="L706" s="2" t="s">
        <v>7882</v>
      </c>
      <c r="M706" s="3" t="s">
        <v>870</v>
      </c>
      <c r="O706" s="3" t="s">
        <v>114</v>
      </c>
      <c r="P706" s="3" t="s">
        <v>235</v>
      </c>
      <c r="R706" s="3" t="s">
        <v>68</v>
      </c>
      <c r="S706" s="4">
        <v>2</v>
      </c>
      <c r="T706" s="4">
        <v>2</v>
      </c>
      <c r="U706" s="5" t="s">
        <v>7883</v>
      </c>
      <c r="V706" s="5" t="s">
        <v>7883</v>
      </c>
      <c r="W706" s="5" t="s">
        <v>7884</v>
      </c>
      <c r="X706" s="5" t="s">
        <v>7884</v>
      </c>
      <c r="Y706" s="4">
        <v>1103</v>
      </c>
      <c r="Z706" s="4">
        <v>1008</v>
      </c>
      <c r="AA706" s="4">
        <v>1124</v>
      </c>
      <c r="AB706" s="4">
        <v>9</v>
      </c>
      <c r="AC706" s="4">
        <v>9</v>
      </c>
      <c r="AD706" s="4">
        <v>46</v>
      </c>
      <c r="AE706" s="4">
        <v>49</v>
      </c>
      <c r="AF706" s="4">
        <v>18</v>
      </c>
      <c r="AG706" s="4">
        <v>21</v>
      </c>
      <c r="AH706" s="4">
        <v>10</v>
      </c>
      <c r="AI706" s="4">
        <v>11</v>
      </c>
      <c r="AJ706" s="4">
        <v>20</v>
      </c>
      <c r="AK706" s="4">
        <v>21</v>
      </c>
      <c r="AL706" s="4">
        <v>8</v>
      </c>
      <c r="AM706" s="4">
        <v>8</v>
      </c>
      <c r="AN706" s="4">
        <v>1</v>
      </c>
      <c r="AO706" s="4">
        <v>1</v>
      </c>
      <c r="AP706" s="3" t="s">
        <v>59</v>
      </c>
      <c r="AQ706" s="3" t="s">
        <v>61</v>
      </c>
      <c r="AR706" s="6" t="str">
        <f>HYPERLINK("http://catalog.hathitrust.org/Record/000486501","HathiTrust Record")</f>
        <v>HathiTrust Record</v>
      </c>
      <c r="AS706" s="6" t="str">
        <f>HYPERLINK("https://creighton-primo.hosted.exlibrisgroup.com/primo-explore/search?tab=default_tab&amp;search_scope=EVERYTHING&amp;vid=01CRU&amp;lang=en_US&amp;offset=0&amp;query=any,contains,991001977389702656","Catalog Record")</f>
        <v>Catalog Record</v>
      </c>
      <c r="AT706" s="6" t="str">
        <f>HYPERLINK("http://www.worldcat.org/oclc/254389","WorldCat Record")</f>
        <v>WorldCat Record</v>
      </c>
      <c r="AU706" s="3" t="s">
        <v>7885</v>
      </c>
      <c r="AV706" s="3" t="s">
        <v>7886</v>
      </c>
      <c r="AW706" s="3" t="s">
        <v>7887</v>
      </c>
      <c r="AX706" s="3" t="s">
        <v>7887</v>
      </c>
      <c r="AY706" s="3" t="s">
        <v>7888</v>
      </c>
      <c r="AZ706" s="3" t="s">
        <v>75</v>
      </c>
      <c r="BC706" s="3" t="s">
        <v>7889</v>
      </c>
      <c r="BD706" s="3" t="s">
        <v>7890</v>
      </c>
    </row>
    <row r="707" spans="1:56" ht="44.25" customHeight="1" x14ac:dyDescent="0.25">
      <c r="A707" s="7" t="s">
        <v>61</v>
      </c>
      <c r="B707" s="2" t="s">
        <v>7891</v>
      </c>
      <c r="C707" s="2" t="s">
        <v>7892</v>
      </c>
      <c r="D707" s="2" t="s">
        <v>7893</v>
      </c>
      <c r="F707" s="3" t="s">
        <v>61</v>
      </c>
      <c r="G707" s="3" t="s">
        <v>60</v>
      </c>
      <c r="H707" s="3" t="s">
        <v>61</v>
      </c>
      <c r="I707" s="3" t="s">
        <v>61</v>
      </c>
      <c r="J707" s="3" t="s">
        <v>62</v>
      </c>
      <c r="K707" s="2" t="s">
        <v>7894</v>
      </c>
      <c r="L707" s="2" t="s">
        <v>7895</v>
      </c>
      <c r="M707" s="3" t="s">
        <v>1332</v>
      </c>
      <c r="O707" s="3" t="s">
        <v>114</v>
      </c>
      <c r="P707" s="3" t="s">
        <v>235</v>
      </c>
      <c r="R707" s="3" t="s">
        <v>68</v>
      </c>
      <c r="S707" s="4">
        <v>5</v>
      </c>
      <c r="T707" s="4">
        <v>5</v>
      </c>
      <c r="U707" s="5" t="s">
        <v>7896</v>
      </c>
      <c r="V707" s="5" t="s">
        <v>7896</v>
      </c>
      <c r="W707" s="5" t="s">
        <v>7897</v>
      </c>
      <c r="X707" s="5" t="s">
        <v>7897</v>
      </c>
      <c r="Y707" s="4">
        <v>500</v>
      </c>
      <c r="Z707" s="4">
        <v>451</v>
      </c>
      <c r="AA707" s="4">
        <v>489</v>
      </c>
      <c r="AB707" s="4">
        <v>5</v>
      </c>
      <c r="AC707" s="4">
        <v>5</v>
      </c>
      <c r="AD707" s="4">
        <v>20</v>
      </c>
      <c r="AE707" s="4">
        <v>21</v>
      </c>
      <c r="AF707" s="4">
        <v>6</v>
      </c>
      <c r="AG707" s="4">
        <v>7</v>
      </c>
      <c r="AH707" s="4">
        <v>5</v>
      </c>
      <c r="AI707" s="4">
        <v>6</v>
      </c>
      <c r="AJ707" s="4">
        <v>10</v>
      </c>
      <c r="AK707" s="4">
        <v>10</v>
      </c>
      <c r="AL707" s="4">
        <v>4</v>
      </c>
      <c r="AM707" s="4">
        <v>4</v>
      </c>
      <c r="AN707" s="4">
        <v>0</v>
      </c>
      <c r="AO707" s="4">
        <v>0</v>
      </c>
      <c r="AP707" s="3" t="s">
        <v>61</v>
      </c>
      <c r="AQ707" s="3" t="s">
        <v>59</v>
      </c>
      <c r="AR707" s="6" t="str">
        <f>HYPERLINK("http://catalog.hathitrust.org/Record/000486496","HathiTrust Record")</f>
        <v>HathiTrust Record</v>
      </c>
      <c r="AS707" s="6" t="str">
        <f>HYPERLINK("https://creighton-primo.hosted.exlibrisgroup.com/primo-explore/search?tab=default_tab&amp;search_scope=EVERYTHING&amp;vid=01CRU&amp;lang=en_US&amp;offset=0&amp;query=any,contains,991003643869702656","Catalog Record")</f>
        <v>Catalog Record</v>
      </c>
      <c r="AT707" s="6" t="str">
        <f>HYPERLINK("http://www.worldcat.org/oclc/1242930","WorldCat Record")</f>
        <v>WorldCat Record</v>
      </c>
      <c r="AU707" s="3" t="s">
        <v>7898</v>
      </c>
      <c r="AV707" s="3" t="s">
        <v>7899</v>
      </c>
      <c r="AW707" s="3" t="s">
        <v>7900</v>
      </c>
      <c r="AX707" s="3" t="s">
        <v>7900</v>
      </c>
      <c r="AY707" s="3" t="s">
        <v>7901</v>
      </c>
      <c r="AZ707" s="3" t="s">
        <v>75</v>
      </c>
      <c r="BC707" s="3" t="s">
        <v>7902</v>
      </c>
      <c r="BD707" s="3" t="s">
        <v>7903</v>
      </c>
    </row>
    <row r="708" spans="1:56" ht="44.25" customHeight="1" x14ac:dyDescent="0.25">
      <c r="A708" s="7" t="s">
        <v>61</v>
      </c>
      <c r="B708" s="2" t="s">
        <v>7904</v>
      </c>
      <c r="C708" s="2" t="s">
        <v>7905</v>
      </c>
      <c r="D708" s="2" t="s">
        <v>7906</v>
      </c>
      <c r="F708" s="3" t="s">
        <v>61</v>
      </c>
      <c r="G708" s="3" t="s">
        <v>60</v>
      </c>
      <c r="H708" s="3" t="s">
        <v>61</v>
      </c>
      <c r="I708" s="3" t="s">
        <v>61</v>
      </c>
      <c r="J708" s="3" t="s">
        <v>62</v>
      </c>
      <c r="K708" s="2" t="s">
        <v>7907</v>
      </c>
      <c r="L708" s="2" t="s">
        <v>7908</v>
      </c>
      <c r="M708" s="3" t="s">
        <v>205</v>
      </c>
      <c r="N708" s="2" t="s">
        <v>634</v>
      </c>
      <c r="O708" s="3" t="s">
        <v>114</v>
      </c>
      <c r="P708" s="3" t="s">
        <v>7909</v>
      </c>
      <c r="R708" s="3" t="s">
        <v>68</v>
      </c>
      <c r="S708" s="4">
        <v>6</v>
      </c>
      <c r="T708" s="4">
        <v>6</v>
      </c>
      <c r="U708" s="5" t="s">
        <v>7910</v>
      </c>
      <c r="V708" s="5" t="s">
        <v>7910</v>
      </c>
      <c r="W708" s="5" t="s">
        <v>6867</v>
      </c>
      <c r="X708" s="5" t="s">
        <v>6867</v>
      </c>
      <c r="Y708" s="4">
        <v>362</v>
      </c>
      <c r="Z708" s="4">
        <v>303</v>
      </c>
      <c r="AA708" s="4">
        <v>310</v>
      </c>
      <c r="AB708" s="4">
        <v>4</v>
      </c>
      <c r="AC708" s="4">
        <v>4</v>
      </c>
      <c r="AD708" s="4">
        <v>13</v>
      </c>
      <c r="AE708" s="4">
        <v>13</v>
      </c>
      <c r="AF708" s="4">
        <v>2</v>
      </c>
      <c r="AG708" s="4">
        <v>2</v>
      </c>
      <c r="AH708" s="4">
        <v>2</v>
      </c>
      <c r="AI708" s="4">
        <v>2</v>
      </c>
      <c r="AJ708" s="4">
        <v>8</v>
      </c>
      <c r="AK708" s="4">
        <v>8</v>
      </c>
      <c r="AL708" s="4">
        <v>3</v>
      </c>
      <c r="AM708" s="4">
        <v>3</v>
      </c>
      <c r="AN708" s="4">
        <v>0</v>
      </c>
      <c r="AO708" s="4">
        <v>0</v>
      </c>
      <c r="AP708" s="3" t="s">
        <v>61</v>
      </c>
      <c r="AQ708" s="3" t="s">
        <v>59</v>
      </c>
      <c r="AR708" s="6" t="str">
        <f>HYPERLINK("http://catalog.hathitrust.org/Record/000122552","HathiTrust Record")</f>
        <v>HathiTrust Record</v>
      </c>
      <c r="AS708" s="6" t="str">
        <f>HYPERLINK("https://creighton-primo.hosted.exlibrisgroup.com/primo-explore/search?tab=default_tab&amp;search_scope=EVERYTHING&amp;vid=01CRU&amp;lang=en_US&amp;offset=0&amp;query=any,contains,991000355849702656","Catalog Record")</f>
        <v>Catalog Record</v>
      </c>
      <c r="AT708" s="6" t="str">
        <f>HYPERLINK("http://www.worldcat.org/oclc/10324985","WorldCat Record")</f>
        <v>WorldCat Record</v>
      </c>
      <c r="AU708" s="3" t="s">
        <v>7911</v>
      </c>
      <c r="AV708" s="3" t="s">
        <v>7912</v>
      </c>
      <c r="AW708" s="3" t="s">
        <v>7913</v>
      </c>
      <c r="AX708" s="3" t="s">
        <v>7913</v>
      </c>
      <c r="AY708" s="3" t="s">
        <v>7914</v>
      </c>
      <c r="AZ708" s="3" t="s">
        <v>75</v>
      </c>
      <c r="BB708" s="3" t="s">
        <v>7915</v>
      </c>
      <c r="BC708" s="3" t="s">
        <v>7916</v>
      </c>
      <c r="BD708" s="3" t="s">
        <v>7917</v>
      </c>
    </row>
    <row r="709" spans="1:56" ht="44.25" customHeight="1" x14ac:dyDescent="0.25">
      <c r="A709" s="7" t="s">
        <v>61</v>
      </c>
      <c r="B709" s="2" t="s">
        <v>7918</v>
      </c>
      <c r="C709" s="2" t="s">
        <v>7919</v>
      </c>
      <c r="D709" s="2" t="s">
        <v>7920</v>
      </c>
      <c r="E709" s="3" t="s">
        <v>7921</v>
      </c>
      <c r="F709" s="3" t="s">
        <v>59</v>
      </c>
      <c r="G709" s="3" t="s">
        <v>7922</v>
      </c>
      <c r="H709" s="3" t="s">
        <v>61</v>
      </c>
      <c r="I709" s="3" t="s">
        <v>61</v>
      </c>
      <c r="J709" s="3" t="s">
        <v>62</v>
      </c>
      <c r="K709" s="2" t="s">
        <v>4524</v>
      </c>
      <c r="L709" s="2" t="s">
        <v>7923</v>
      </c>
      <c r="M709" s="3" t="s">
        <v>7375</v>
      </c>
      <c r="O709" s="3" t="s">
        <v>114</v>
      </c>
      <c r="P709" s="3" t="s">
        <v>115</v>
      </c>
      <c r="R709" s="3" t="s">
        <v>68</v>
      </c>
      <c r="S709" s="4">
        <v>2</v>
      </c>
      <c r="T709" s="4">
        <v>14</v>
      </c>
      <c r="U709" s="5" t="s">
        <v>7924</v>
      </c>
      <c r="V709" s="5" t="s">
        <v>7925</v>
      </c>
      <c r="W709" s="5" t="s">
        <v>7926</v>
      </c>
      <c r="X709" s="5" t="s">
        <v>6867</v>
      </c>
      <c r="Y709" s="4">
        <v>1753</v>
      </c>
      <c r="Z709" s="4">
        <v>1629</v>
      </c>
      <c r="AA709" s="4">
        <v>3003</v>
      </c>
      <c r="AB709" s="4">
        <v>14</v>
      </c>
      <c r="AC709" s="4">
        <v>30</v>
      </c>
      <c r="AD709" s="4">
        <v>47</v>
      </c>
      <c r="AE709" s="4">
        <v>63</v>
      </c>
      <c r="AF709" s="4">
        <v>17</v>
      </c>
      <c r="AG709" s="4">
        <v>24</v>
      </c>
      <c r="AH709" s="4">
        <v>7</v>
      </c>
      <c r="AI709" s="4">
        <v>11</v>
      </c>
      <c r="AJ709" s="4">
        <v>19</v>
      </c>
      <c r="AK709" s="4">
        <v>24</v>
      </c>
      <c r="AL709" s="4">
        <v>8</v>
      </c>
      <c r="AM709" s="4">
        <v>12</v>
      </c>
      <c r="AN709" s="4">
        <v>3</v>
      </c>
      <c r="AO709" s="4">
        <v>3</v>
      </c>
      <c r="AP709" s="3" t="s">
        <v>61</v>
      </c>
      <c r="AQ709" s="3" t="s">
        <v>59</v>
      </c>
      <c r="AR709" s="6" t="str">
        <f t="shared" ref="AR709:AR714" si="15">HYPERLINK("http://catalog.hathitrust.org/Record/000492165","HathiTrust Record")</f>
        <v>HathiTrust Record</v>
      </c>
      <c r="AS709" s="6" t="str">
        <f t="shared" ref="AS709:AS714" si="16">HYPERLINK("https://creighton-primo.hosted.exlibrisgroup.com/primo-explore/search?tab=default_tab&amp;search_scope=EVERYTHING&amp;vid=01CRU&amp;lang=en_US&amp;offset=0&amp;query=any,contains,991003474259702656","Catalog Record")</f>
        <v>Catalog Record</v>
      </c>
      <c r="AT709" s="6" t="str">
        <f t="shared" ref="AT709:AT714" si="17">HYPERLINK("http://www.worldcat.org/oclc/1017793","WorldCat Record")</f>
        <v>WorldCat Record</v>
      </c>
      <c r="AU709" s="3" t="s">
        <v>7927</v>
      </c>
      <c r="AV709" s="3" t="s">
        <v>7928</v>
      </c>
      <c r="AW709" s="3" t="s">
        <v>7929</v>
      </c>
      <c r="AX709" s="3" t="s">
        <v>7929</v>
      </c>
      <c r="AY709" s="3" t="s">
        <v>7930</v>
      </c>
      <c r="AZ709" s="3" t="s">
        <v>75</v>
      </c>
      <c r="BC709" s="3" t="s">
        <v>7931</v>
      </c>
      <c r="BD709" s="3" t="s">
        <v>7932</v>
      </c>
    </row>
    <row r="710" spans="1:56" ht="44.25" customHeight="1" x14ac:dyDescent="0.25">
      <c r="A710" s="7" t="s">
        <v>61</v>
      </c>
      <c r="B710" s="2" t="s">
        <v>7918</v>
      </c>
      <c r="C710" s="2" t="s">
        <v>7919</v>
      </c>
      <c r="D710" s="2" t="s">
        <v>7920</v>
      </c>
      <c r="E710" s="3" t="s">
        <v>2273</v>
      </c>
      <c r="F710" s="3" t="s">
        <v>59</v>
      </c>
      <c r="G710" s="3" t="s">
        <v>60</v>
      </c>
      <c r="H710" s="3" t="s">
        <v>61</v>
      </c>
      <c r="I710" s="3" t="s">
        <v>61</v>
      </c>
      <c r="J710" s="3" t="s">
        <v>62</v>
      </c>
      <c r="K710" s="2" t="s">
        <v>4524</v>
      </c>
      <c r="L710" s="2" t="s">
        <v>7923</v>
      </c>
      <c r="M710" s="3" t="s">
        <v>7375</v>
      </c>
      <c r="O710" s="3" t="s">
        <v>114</v>
      </c>
      <c r="P710" s="3" t="s">
        <v>115</v>
      </c>
      <c r="R710" s="3" t="s">
        <v>68</v>
      </c>
      <c r="S710" s="4">
        <v>3</v>
      </c>
      <c r="T710" s="4">
        <v>14</v>
      </c>
      <c r="U710" s="5" t="s">
        <v>7925</v>
      </c>
      <c r="V710" s="5" t="s">
        <v>7925</v>
      </c>
      <c r="W710" s="5" t="s">
        <v>6867</v>
      </c>
      <c r="X710" s="5" t="s">
        <v>6867</v>
      </c>
      <c r="Y710" s="4">
        <v>1753</v>
      </c>
      <c r="Z710" s="4">
        <v>1629</v>
      </c>
      <c r="AA710" s="4">
        <v>3003</v>
      </c>
      <c r="AB710" s="4">
        <v>14</v>
      </c>
      <c r="AC710" s="4">
        <v>30</v>
      </c>
      <c r="AD710" s="4">
        <v>47</v>
      </c>
      <c r="AE710" s="4">
        <v>63</v>
      </c>
      <c r="AF710" s="4">
        <v>17</v>
      </c>
      <c r="AG710" s="4">
        <v>24</v>
      </c>
      <c r="AH710" s="4">
        <v>7</v>
      </c>
      <c r="AI710" s="4">
        <v>11</v>
      </c>
      <c r="AJ710" s="4">
        <v>19</v>
      </c>
      <c r="AK710" s="4">
        <v>24</v>
      </c>
      <c r="AL710" s="4">
        <v>8</v>
      </c>
      <c r="AM710" s="4">
        <v>12</v>
      </c>
      <c r="AN710" s="4">
        <v>3</v>
      </c>
      <c r="AO710" s="4">
        <v>3</v>
      </c>
      <c r="AP710" s="3" t="s">
        <v>61</v>
      </c>
      <c r="AQ710" s="3" t="s">
        <v>59</v>
      </c>
      <c r="AR710" s="6" t="str">
        <f t="shared" si="15"/>
        <v>HathiTrust Record</v>
      </c>
      <c r="AS710" s="6" t="str">
        <f t="shared" si="16"/>
        <v>Catalog Record</v>
      </c>
      <c r="AT710" s="6" t="str">
        <f t="shared" si="17"/>
        <v>WorldCat Record</v>
      </c>
      <c r="AU710" s="3" t="s">
        <v>7927</v>
      </c>
      <c r="AV710" s="3" t="s">
        <v>7928</v>
      </c>
      <c r="AW710" s="3" t="s">
        <v>7929</v>
      </c>
      <c r="AX710" s="3" t="s">
        <v>7929</v>
      </c>
      <c r="AY710" s="3" t="s">
        <v>7930</v>
      </c>
      <c r="AZ710" s="3" t="s">
        <v>75</v>
      </c>
      <c r="BC710" s="3" t="s">
        <v>7933</v>
      </c>
      <c r="BD710" s="3" t="s">
        <v>7934</v>
      </c>
    </row>
    <row r="711" spans="1:56" ht="44.25" customHeight="1" x14ac:dyDescent="0.25">
      <c r="A711" s="7" t="s">
        <v>61</v>
      </c>
      <c r="B711" s="2" t="s">
        <v>7918</v>
      </c>
      <c r="C711" s="2" t="s">
        <v>7919</v>
      </c>
      <c r="D711" s="2" t="s">
        <v>7920</v>
      </c>
      <c r="E711" s="3" t="s">
        <v>7935</v>
      </c>
      <c r="F711" s="3" t="s">
        <v>59</v>
      </c>
      <c r="G711" s="3" t="s">
        <v>7922</v>
      </c>
      <c r="H711" s="3" t="s">
        <v>61</v>
      </c>
      <c r="I711" s="3" t="s">
        <v>61</v>
      </c>
      <c r="J711" s="3" t="s">
        <v>62</v>
      </c>
      <c r="K711" s="2" t="s">
        <v>4524</v>
      </c>
      <c r="L711" s="2" t="s">
        <v>7923</v>
      </c>
      <c r="M711" s="3" t="s">
        <v>7375</v>
      </c>
      <c r="O711" s="3" t="s">
        <v>114</v>
      </c>
      <c r="P711" s="3" t="s">
        <v>115</v>
      </c>
      <c r="R711" s="3" t="s">
        <v>68</v>
      </c>
      <c r="S711" s="4">
        <v>0</v>
      </c>
      <c r="T711" s="4">
        <v>14</v>
      </c>
      <c r="V711" s="5" t="s">
        <v>7925</v>
      </c>
      <c r="W711" s="5" t="s">
        <v>6867</v>
      </c>
      <c r="X711" s="5" t="s">
        <v>6867</v>
      </c>
      <c r="Y711" s="4">
        <v>1753</v>
      </c>
      <c r="Z711" s="4">
        <v>1629</v>
      </c>
      <c r="AA711" s="4">
        <v>3003</v>
      </c>
      <c r="AB711" s="4">
        <v>14</v>
      </c>
      <c r="AC711" s="4">
        <v>30</v>
      </c>
      <c r="AD711" s="4">
        <v>47</v>
      </c>
      <c r="AE711" s="4">
        <v>63</v>
      </c>
      <c r="AF711" s="4">
        <v>17</v>
      </c>
      <c r="AG711" s="4">
        <v>24</v>
      </c>
      <c r="AH711" s="4">
        <v>7</v>
      </c>
      <c r="AI711" s="4">
        <v>11</v>
      </c>
      <c r="AJ711" s="4">
        <v>19</v>
      </c>
      <c r="AK711" s="4">
        <v>24</v>
      </c>
      <c r="AL711" s="4">
        <v>8</v>
      </c>
      <c r="AM711" s="4">
        <v>12</v>
      </c>
      <c r="AN711" s="4">
        <v>3</v>
      </c>
      <c r="AO711" s="4">
        <v>3</v>
      </c>
      <c r="AP711" s="3" t="s">
        <v>61</v>
      </c>
      <c r="AQ711" s="3" t="s">
        <v>59</v>
      </c>
      <c r="AR711" s="6" t="str">
        <f t="shared" si="15"/>
        <v>HathiTrust Record</v>
      </c>
      <c r="AS711" s="6" t="str">
        <f t="shared" si="16"/>
        <v>Catalog Record</v>
      </c>
      <c r="AT711" s="6" t="str">
        <f t="shared" si="17"/>
        <v>WorldCat Record</v>
      </c>
      <c r="AU711" s="3" t="s">
        <v>7927</v>
      </c>
      <c r="AV711" s="3" t="s">
        <v>7928</v>
      </c>
      <c r="AW711" s="3" t="s">
        <v>7929</v>
      </c>
      <c r="AX711" s="3" t="s">
        <v>7929</v>
      </c>
      <c r="AY711" s="3" t="s">
        <v>7930</v>
      </c>
      <c r="AZ711" s="3" t="s">
        <v>75</v>
      </c>
      <c r="BC711" s="3" t="s">
        <v>7936</v>
      </c>
      <c r="BD711" s="3" t="s">
        <v>7937</v>
      </c>
    </row>
    <row r="712" spans="1:56" ht="44.25" customHeight="1" x14ac:dyDescent="0.25">
      <c r="A712" s="7" t="s">
        <v>61</v>
      </c>
      <c r="B712" s="2" t="s">
        <v>7918</v>
      </c>
      <c r="C712" s="2" t="s">
        <v>7919</v>
      </c>
      <c r="D712" s="2" t="s">
        <v>7920</v>
      </c>
      <c r="E712" s="3" t="s">
        <v>7938</v>
      </c>
      <c r="F712" s="3" t="s">
        <v>59</v>
      </c>
      <c r="G712" s="3" t="s">
        <v>7922</v>
      </c>
      <c r="H712" s="3" t="s">
        <v>61</v>
      </c>
      <c r="I712" s="3" t="s">
        <v>61</v>
      </c>
      <c r="J712" s="3" t="s">
        <v>62</v>
      </c>
      <c r="K712" s="2" t="s">
        <v>4524</v>
      </c>
      <c r="L712" s="2" t="s">
        <v>7923</v>
      </c>
      <c r="M712" s="3" t="s">
        <v>7375</v>
      </c>
      <c r="O712" s="3" t="s">
        <v>114</v>
      </c>
      <c r="P712" s="3" t="s">
        <v>115</v>
      </c>
      <c r="R712" s="3" t="s">
        <v>68</v>
      </c>
      <c r="S712" s="4">
        <v>5</v>
      </c>
      <c r="T712" s="4">
        <v>14</v>
      </c>
      <c r="U712" s="5" t="s">
        <v>6223</v>
      </c>
      <c r="V712" s="5" t="s">
        <v>7925</v>
      </c>
      <c r="W712" s="5" t="s">
        <v>6867</v>
      </c>
      <c r="X712" s="5" t="s">
        <v>6867</v>
      </c>
      <c r="Y712" s="4">
        <v>1753</v>
      </c>
      <c r="Z712" s="4">
        <v>1629</v>
      </c>
      <c r="AA712" s="4">
        <v>3003</v>
      </c>
      <c r="AB712" s="4">
        <v>14</v>
      </c>
      <c r="AC712" s="4">
        <v>30</v>
      </c>
      <c r="AD712" s="4">
        <v>47</v>
      </c>
      <c r="AE712" s="4">
        <v>63</v>
      </c>
      <c r="AF712" s="4">
        <v>17</v>
      </c>
      <c r="AG712" s="4">
        <v>24</v>
      </c>
      <c r="AH712" s="4">
        <v>7</v>
      </c>
      <c r="AI712" s="4">
        <v>11</v>
      </c>
      <c r="AJ712" s="4">
        <v>19</v>
      </c>
      <c r="AK712" s="4">
        <v>24</v>
      </c>
      <c r="AL712" s="4">
        <v>8</v>
      </c>
      <c r="AM712" s="4">
        <v>12</v>
      </c>
      <c r="AN712" s="4">
        <v>3</v>
      </c>
      <c r="AO712" s="4">
        <v>3</v>
      </c>
      <c r="AP712" s="3" t="s">
        <v>61</v>
      </c>
      <c r="AQ712" s="3" t="s">
        <v>59</v>
      </c>
      <c r="AR712" s="6" t="str">
        <f t="shared" si="15"/>
        <v>HathiTrust Record</v>
      </c>
      <c r="AS712" s="6" t="str">
        <f t="shared" si="16"/>
        <v>Catalog Record</v>
      </c>
      <c r="AT712" s="6" t="str">
        <f t="shared" si="17"/>
        <v>WorldCat Record</v>
      </c>
      <c r="AU712" s="3" t="s">
        <v>7927</v>
      </c>
      <c r="AV712" s="3" t="s">
        <v>7928</v>
      </c>
      <c r="AW712" s="3" t="s">
        <v>7929</v>
      </c>
      <c r="AX712" s="3" t="s">
        <v>7929</v>
      </c>
      <c r="AY712" s="3" t="s">
        <v>7930</v>
      </c>
      <c r="AZ712" s="3" t="s">
        <v>75</v>
      </c>
      <c r="BC712" s="3" t="s">
        <v>7939</v>
      </c>
      <c r="BD712" s="3" t="s">
        <v>7940</v>
      </c>
    </row>
    <row r="713" spans="1:56" ht="44.25" customHeight="1" x14ac:dyDescent="0.25">
      <c r="A713" s="7" t="s">
        <v>61</v>
      </c>
      <c r="B713" s="2" t="s">
        <v>7918</v>
      </c>
      <c r="C713" s="2" t="s">
        <v>7919</v>
      </c>
      <c r="D713" s="2" t="s">
        <v>7920</v>
      </c>
      <c r="E713" s="3" t="s">
        <v>2263</v>
      </c>
      <c r="F713" s="3" t="s">
        <v>59</v>
      </c>
      <c r="G713" s="3" t="s">
        <v>60</v>
      </c>
      <c r="H713" s="3" t="s">
        <v>61</v>
      </c>
      <c r="I713" s="3" t="s">
        <v>61</v>
      </c>
      <c r="J713" s="3" t="s">
        <v>62</v>
      </c>
      <c r="K713" s="2" t="s">
        <v>4524</v>
      </c>
      <c r="L713" s="2" t="s">
        <v>7923</v>
      </c>
      <c r="M713" s="3" t="s">
        <v>7375</v>
      </c>
      <c r="O713" s="3" t="s">
        <v>114</v>
      </c>
      <c r="P713" s="3" t="s">
        <v>115</v>
      </c>
      <c r="R713" s="3" t="s">
        <v>68</v>
      </c>
      <c r="S713" s="4">
        <v>4</v>
      </c>
      <c r="T713" s="4">
        <v>14</v>
      </c>
      <c r="U713" s="5" t="s">
        <v>7925</v>
      </c>
      <c r="V713" s="5" t="s">
        <v>7925</v>
      </c>
      <c r="W713" s="5" t="s">
        <v>6867</v>
      </c>
      <c r="X713" s="5" t="s">
        <v>6867</v>
      </c>
      <c r="Y713" s="4">
        <v>1753</v>
      </c>
      <c r="Z713" s="4">
        <v>1629</v>
      </c>
      <c r="AA713" s="4">
        <v>3003</v>
      </c>
      <c r="AB713" s="4">
        <v>14</v>
      </c>
      <c r="AC713" s="4">
        <v>30</v>
      </c>
      <c r="AD713" s="4">
        <v>47</v>
      </c>
      <c r="AE713" s="4">
        <v>63</v>
      </c>
      <c r="AF713" s="4">
        <v>17</v>
      </c>
      <c r="AG713" s="4">
        <v>24</v>
      </c>
      <c r="AH713" s="4">
        <v>7</v>
      </c>
      <c r="AI713" s="4">
        <v>11</v>
      </c>
      <c r="AJ713" s="4">
        <v>19</v>
      </c>
      <c r="AK713" s="4">
        <v>24</v>
      </c>
      <c r="AL713" s="4">
        <v>8</v>
      </c>
      <c r="AM713" s="4">
        <v>12</v>
      </c>
      <c r="AN713" s="4">
        <v>3</v>
      </c>
      <c r="AO713" s="4">
        <v>3</v>
      </c>
      <c r="AP713" s="3" t="s">
        <v>61</v>
      </c>
      <c r="AQ713" s="3" t="s">
        <v>59</v>
      </c>
      <c r="AR713" s="6" t="str">
        <f t="shared" si="15"/>
        <v>HathiTrust Record</v>
      </c>
      <c r="AS713" s="6" t="str">
        <f t="shared" si="16"/>
        <v>Catalog Record</v>
      </c>
      <c r="AT713" s="6" t="str">
        <f t="shared" si="17"/>
        <v>WorldCat Record</v>
      </c>
      <c r="AU713" s="3" t="s">
        <v>7927</v>
      </c>
      <c r="AV713" s="3" t="s">
        <v>7928</v>
      </c>
      <c r="AW713" s="3" t="s">
        <v>7929</v>
      </c>
      <c r="AX713" s="3" t="s">
        <v>7929</v>
      </c>
      <c r="AY713" s="3" t="s">
        <v>7930</v>
      </c>
      <c r="AZ713" s="3" t="s">
        <v>75</v>
      </c>
      <c r="BC713" s="3" t="s">
        <v>7941</v>
      </c>
      <c r="BD713" s="3" t="s">
        <v>7942</v>
      </c>
    </row>
    <row r="714" spans="1:56" ht="44.25" customHeight="1" x14ac:dyDescent="0.25">
      <c r="A714" s="7" t="s">
        <v>61</v>
      </c>
      <c r="B714" s="2" t="s">
        <v>7918</v>
      </c>
      <c r="C714" s="2" t="s">
        <v>7919</v>
      </c>
      <c r="D714" s="2" t="s">
        <v>7920</v>
      </c>
      <c r="E714" s="3" t="s">
        <v>6301</v>
      </c>
      <c r="F714" s="3" t="s">
        <v>59</v>
      </c>
      <c r="G714" s="3" t="s">
        <v>7922</v>
      </c>
      <c r="H714" s="3" t="s">
        <v>61</v>
      </c>
      <c r="I714" s="3" t="s">
        <v>61</v>
      </c>
      <c r="J714" s="3" t="s">
        <v>62</v>
      </c>
      <c r="K714" s="2" t="s">
        <v>4524</v>
      </c>
      <c r="L714" s="2" t="s">
        <v>7923</v>
      </c>
      <c r="M714" s="3" t="s">
        <v>7375</v>
      </c>
      <c r="O714" s="3" t="s">
        <v>114</v>
      </c>
      <c r="P714" s="3" t="s">
        <v>115</v>
      </c>
      <c r="R714" s="3" t="s">
        <v>68</v>
      </c>
      <c r="S714" s="4">
        <v>0</v>
      </c>
      <c r="T714" s="4">
        <v>14</v>
      </c>
      <c r="V714" s="5" t="s">
        <v>7925</v>
      </c>
      <c r="W714" s="5" t="s">
        <v>6867</v>
      </c>
      <c r="X714" s="5" t="s">
        <v>6867</v>
      </c>
      <c r="Y714" s="4">
        <v>1753</v>
      </c>
      <c r="Z714" s="4">
        <v>1629</v>
      </c>
      <c r="AA714" s="4">
        <v>3003</v>
      </c>
      <c r="AB714" s="4">
        <v>14</v>
      </c>
      <c r="AC714" s="4">
        <v>30</v>
      </c>
      <c r="AD714" s="4">
        <v>47</v>
      </c>
      <c r="AE714" s="4">
        <v>63</v>
      </c>
      <c r="AF714" s="4">
        <v>17</v>
      </c>
      <c r="AG714" s="4">
        <v>24</v>
      </c>
      <c r="AH714" s="4">
        <v>7</v>
      </c>
      <c r="AI714" s="4">
        <v>11</v>
      </c>
      <c r="AJ714" s="4">
        <v>19</v>
      </c>
      <c r="AK714" s="4">
        <v>24</v>
      </c>
      <c r="AL714" s="4">
        <v>8</v>
      </c>
      <c r="AM714" s="4">
        <v>12</v>
      </c>
      <c r="AN714" s="4">
        <v>3</v>
      </c>
      <c r="AO714" s="4">
        <v>3</v>
      </c>
      <c r="AP714" s="3" t="s">
        <v>61</v>
      </c>
      <c r="AQ714" s="3" t="s">
        <v>59</v>
      </c>
      <c r="AR714" s="6" t="str">
        <f t="shared" si="15"/>
        <v>HathiTrust Record</v>
      </c>
      <c r="AS714" s="6" t="str">
        <f t="shared" si="16"/>
        <v>Catalog Record</v>
      </c>
      <c r="AT714" s="6" t="str">
        <f t="shared" si="17"/>
        <v>WorldCat Record</v>
      </c>
      <c r="AU714" s="3" t="s">
        <v>7927</v>
      </c>
      <c r="AV714" s="3" t="s">
        <v>7928</v>
      </c>
      <c r="AW714" s="3" t="s">
        <v>7929</v>
      </c>
      <c r="AX714" s="3" t="s">
        <v>7929</v>
      </c>
      <c r="AY714" s="3" t="s">
        <v>7930</v>
      </c>
      <c r="AZ714" s="3" t="s">
        <v>75</v>
      </c>
      <c r="BC714" s="3" t="s">
        <v>7943</v>
      </c>
      <c r="BD714" s="3" t="s">
        <v>7944</v>
      </c>
    </row>
    <row r="715" spans="1:56" ht="44.25" customHeight="1" x14ac:dyDescent="0.25">
      <c r="A715" s="7" t="s">
        <v>61</v>
      </c>
      <c r="B715" s="2" t="s">
        <v>7945</v>
      </c>
      <c r="C715" s="2" t="s">
        <v>7946</v>
      </c>
      <c r="D715" s="2" t="s">
        <v>7947</v>
      </c>
      <c r="F715" s="3" t="s">
        <v>61</v>
      </c>
      <c r="G715" s="3" t="s">
        <v>60</v>
      </c>
      <c r="H715" s="3" t="s">
        <v>61</v>
      </c>
      <c r="I715" s="3" t="s">
        <v>61</v>
      </c>
      <c r="J715" s="3" t="s">
        <v>62</v>
      </c>
      <c r="K715" s="2" t="s">
        <v>4524</v>
      </c>
      <c r="L715" s="2" t="s">
        <v>7948</v>
      </c>
      <c r="M715" s="3" t="s">
        <v>4337</v>
      </c>
      <c r="O715" s="3" t="s">
        <v>114</v>
      </c>
      <c r="P715" s="3" t="s">
        <v>115</v>
      </c>
      <c r="R715" s="3" t="s">
        <v>68</v>
      </c>
      <c r="S715" s="4">
        <v>1</v>
      </c>
      <c r="T715" s="4">
        <v>1</v>
      </c>
      <c r="U715" s="5" t="s">
        <v>2045</v>
      </c>
      <c r="V715" s="5" t="s">
        <v>2045</v>
      </c>
      <c r="W715" s="5" t="s">
        <v>2046</v>
      </c>
      <c r="X715" s="5" t="s">
        <v>2046</v>
      </c>
      <c r="Y715" s="4">
        <v>1082</v>
      </c>
      <c r="Z715" s="4">
        <v>1038</v>
      </c>
      <c r="AA715" s="4">
        <v>1644</v>
      </c>
      <c r="AB715" s="4">
        <v>5</v>
      </c>
      <c r="AC715" s="4">
        <v>10</v>
      </c>
      <c r="AD715" s="4">
        <v>17</v>
      </c>
      <c r="AE715" s="4">
        <v>30</v>
      </c>
      <c r="AF715" s="4">
        <v>7</v>
      </c>
      <c r="AG715" s="4">
        <v>14</v>
      </c>
      <c r="AH715" s="4">
        <v>5</v>
      </c>
      <c r="AI715" s="4">
        <v>7</v>
      </c>
      <c r="AJ715" s="4">
        <v>9</v>
      </c>
      <c r="AK715" s="4">
        <v>15</v>
      </c>
      <c r="AL715" s="4">
        <v>1</v>
      </c>
      <c r="AM715" s="4">
        <v>1</v>
      </c>
      <c r="AN715" s="4">
        <v>0</v>
      </c>
      <c r="AO715" s="4">
        <v>0</v>
      </c>
      <c r="AP715" s="3" t="s">
        <v>61</v>
      </c>
      <c r="AQ715" s="3" t="s">
        <v>59</v>
      </c>
      <c r="AR715" s="6" t="str">
        <f>HYPERLINK("http://catalog.hathitrust.org/Record/000488331","HathiTrust Record")</f>
        <v>HathiTrust Record</v>
      </c>
      <c r="AS715" s="6" t="str">
        <f>HYPERLINK("https://creighton-primo.hosted.exlibrisgroup.com/primo-explore/search?tab=default_tab&amp;search_scope=EVERYTHING&amp;vid=01CRU&amp;lang=en_US&amp;offset=0&amp;query=any,contains,991003584219702656","Catalog Record")</f>
        <v>Catalog Record</v>
      </c>
      <c r="AT715" s="6" t="str">
        <f>HYPERLINK("http://www.worldcat.org/oclc/179292","WorldCat Record")</f>
        <v>WorldCat Record</v>
      </c>
      <c r="AU715" s="3" t="s">
        <v>7949</v>
      </c>
      <c r="AV715" s="3" t="s">
        <v>7950</v>
      </c>
      <c r="AW715" s="3" t="s">
        <v>7951</v>
      </c>
      <c r="AX715" s="3" t="s">
        <v>7951</v>
      </c>
      <c r="AY715" s="3" t="s">
        <v>7952</v>
      </c>
      <c r="AZ715" s="3" t="s">
        <v>75</v>
      </c>
      <c r="BC715" s="3" t="s">
        <v>7953</v>
      </c>
      <c r="BD715" s="3" t="s">
        <v>7954</v>
      </c>
    </row>
    <row r="716" spans="1:56" ht="44.25" customHeight="1" x14ac:dyDescent="0.25">
      <c r="A716" s="7" t="s">
        <v>61</v>
      </c>
      <c r="B716" s="2" t="s">
        <v>7955</v>
      </c>
      <c r="C716" s="2" t="s">
        <v>7956</v>
      </c>
      <c r="D716" s="2" t="s">
        <v>7957</v>
      </c>
      <c r="F716" s="3" t="s">
        <v>61</v>
      </c>
      <c r="G716" s="3" t="s">
        <v>60</v>
      </c>
      <c r="H716" s="3" t="s">
        <v>61</v>
      </c>
      <c r="I716" s="3" t="s">
        <v>61</v>
      </c>
      <c r="J716" s="3" t="s">
        <v>62</v>
      </c>
      <c r="K716" s="2" t="s">
        <v>7958</v>
      </c>
      <c r="L716" s="2" t="s">
        <v>7959</v>
      </c>
      <c r="M716" s="3" t="s">
        <v>707</v>
      </c>
      <c r="O716" s="3" t="s">
        <v>114</v>
      </c>
      <c r="P716" s="3" t="s">
        <v>235</v>
      </c>
      <c r="R716" s="3" t="s">
        <v>68</v>
      </c>
      <c r="S716" s="4">
        <v>3</v>
      </c>
      <c r="T716" s="4">
        <v>3</v>
      </c>
      <c r="U716" s="5" t="s">
        <v>1171</v>
      </c>
      <c r="V716" s="5" t="s">
        <v>1171</v>
      </c>
      <c r="W716" s="5" t="s">
        <v>7960</v>
      </c>
      <c r="X716" s="5" t="s">
        <v>7960</v>
      </c>
      <c r="Y716" s="4">
        <v>737</v>
      </c>
      <c r="Z716" s="4">
        <v>712</v>
      </c>
      <c r="AA716" s="4">
        <v>714</v>
      </c>
      <c r="AB716" s="4">
        <v>4</v>
      </c>
      <c r="AC716" s="4">
        <v>4</v>
      </c>
      <c r="AD716" s="4">
        <v>18</v>
      </c>
      <c r="AE716" s="4">
        <v>18</v>
      </c>
      <c r="AF716" s="4">
        <v>8</v>
      </c>
      <c r="AG716" s="4">
        <v>8</v>
      </c>
      <c r="AH716" s="4">
        <v>5</v>
      </c>
      <c r="AI716" s="4">
        <v>5</v>
      </c>
      <c r="AJ716" s="4">
        <v>8</v>
      </c>
      <c r="AK716" s="4">
        <v>8</v>
      </c>
      <c r="AL716" s="4">
        <v>3</v>
      </c>
      <c r="AM716" s="4">
        <v>3</v>
      </c>
      <c r="AN716" s="4">
        <v>0</v>
      </c>
      <c r="AO716" s="4">
        <v>0</v>
      </c>
      <c r="AP716" s="3" t="s">
        <v>61</v>
      </c>
      <c r="AQ716" s="3" t="s">
        <v>59</v>
      </c>
      <c r="AR716" s="6" t="str">
        <f>HYPERLINK("http://catalog.hathitrust.org/Record/000488334","HathiTrust Record")</f>
        <v>HathiTrust Record</v>
      </c>
      <c r="AS716" s="6" t="str">
        <f>HYPERLINK("https://creighton-primo.hosted.exlibrisgroup.com/primo-explore/search?tab=default_tab&amp;search_scope=EVERYTHING&amp;vid=01CRU&amp;lang=en_US&amp;offset=0&amp;query=any,contains,991003961829702656","Catalog Record")</f>
        <v>Catalog Record</v>
      </c>
      <c r="AT716" s="6" t="str">
        <f>HYPERLINK("http://www.worldcat.org/oclc/1975753","WorldCat Record")</f>
        <v>WorldCat Record</v>
      </c>
      <c r="AU716" s="3" t="s">
        <v>7961</v>
      </c>
      <c r="AV716" s="3" t="s">
        <v>7962</v>
      </c>
      <c r="AW716" s="3" t="s">
        <v>7963</v>
      </c>
      <c r="AX716" s="3" t="s">
        <v>7963</v>
      </c>
      <c r="AY716" s="3" t="s">
        <v>7964</v>
      </c>
      <c r="AZ716" s="3" t="s">
        <v>75</v>
      </c>
      <c r="BC716" s="3" t="s">
        <v>7965</v>
      </c>
      <c r="BD716" s="3" t="s">
        <v>7966</v>
      </c>
    </row>
    <row r="717" spans="1:56" ht="44.25" customHeight="1" x14ac:dyDescent="0.25">
      <c r="A717" s="7" t="s">
        <v>61</v>
      </c>
      <c r="B717" s="2" t="s">
        <v>7967</v>
      </c>
      <c r="C717" s="2" t="s">
        <v>7968</v>
      </c>
      <c r="D717" s="2" t="s">
        <v>7969</v>
      </c>
      <c r="E717" s="3" t="s">
        <v>90</v>
      </c>
      <c r="F717" s="3" t="s">
        <v>59</v>
      </c>
      <c r="G717" s="3" t="s">
        <v>60</v>
      </c>
      <c r="H717" s="3" t="s">
        <v>61</v>
      </c>
      <c r="I717" s="3" t="s">
        <v>61</v>
      </c>
      <c r="J717" s="3" t="s">
        <v>62</v>
      </c>
      <c r="K717" s="2" t="s">
        <v>7970</v>
      </c>
      <c r="L717" s="2" t="s">
        <v>7971</v>
      </c>
      <c r="M717" s="3" t="s">
        <v>3279</v>
      </c>
      <c r="O717" s="3" t="s">
        <v>114</v>
      </c>
      <c r="P717" s="3" t="s">
        <v>235</v>
      </c>
      <c r="R717" s="3" t="s">
        <v>68</v>
      </c>
      <c r="S717" s="4">
        <v>1</v>
      </c>
      <c r="T717" s="4">
        <v>18</v>
      </c>
      <c r="V717" s="5" t="s">
        <v>7972</v>
      </c>
      <c r="W717" s="5" t="s">
        <v>6867</v>
      </c>
      <c r="X717" s="5" t="s">
        <v>6867</v>
      </c>
      <c r="Y717" s="4">
        <v>575</v>
      </c>
      <c r="Z717" s="4">
        <v>553</v>
      </c>
      <c r="AA717" s="4">
        <v>578</v>
      </c>
      <c r="AB717" s="4">
        <v>9</v>
      </c>
      <c r="AC717" s="4">
        <v>9</v>
      </c>
      <c r="AD717" s="4">
        <v>7</v>
      </c>
      <c r="AE717" s="4">
        <v>7</v>
      </c>
      <c r="AF717" s="4">
        <v>4</v>
      </c>
      <c r="AG717" s="4">
        <v>4</v>
      </c>
      <c r="AH717" s="4">
        <v>1</v>
      </c>
      <c r="AI717" s="4">
        <v>1</v>
      </c>
      <c r="AJ717" s="4">
        <v>2</v>
      </c>
      <c r="AK717" s="4">
        <v>2</v>
      </c>
      <c r="AL717" s="4">
        <v>1</v>
      </c>
      <c r="AM717" s="4">
        <v>1</v>
      </c>
      <c r="AN717" s="4">
        <v>0</v>
      </c>
      <c r="AO717" s="4">
        <v>0</v>
      </c>
      <c r="AP717" s="3" t="s">
        <v>61</v>
      </c>
      <c r="AQ717" s="3" t="s">
        <v>61</v>
      </c>
      <c r="AS717" s="6" t="str">
        <f t="shared" ref="AS717:AS737" si="18">HYPERLINK("https://creighton-primo.hosted.exlibrisgroup.com/primo-explore/search?tab=default_tab&amp;search_scope=EVERYTHING&amp;vid=01CRU&amp;lang=en_US&amp;offset=0&amp;query=any,contains,991003668789702656","Catalog Record")</f>
        <v>Catalog Record</v>
      </c>
      <c r="AT717" s="6" t="str">
        <f t="shared" ref="AT717:AT737" si="19">HYPERLINK("http://www.worldcat.org/oclc/1284760","WorldCat Record")</f>
        <v>WorldCat Record</v>
      </c>
      <c r="AU717" s="3" t="s">
        <v>7973</v>
      </c>
      <c r="AV717" s="3" t="s">
        <v>7974</v>
      </c>
      <c r="AW717" s="3" t="s">
        <v>7975</v>
      </c>
      <c r="AX717" s="3" t="s">
        <v>7975</v>
      </c>
      <c r="AY717" s="3" t="s">
        <v>7976</v>
      </c>
      <c r="AZ717" s="3" t="s">
        <v>75</v>
      </c>
      <c r="BC717" s="3" t="s">
        <v>7977</v>
      </c>
      <c r="BD717" s="3" t="s">
        <v>7978</v>
      </c>
    </row>
    <row r="718" spans="1:56" ht="44.25" customHeight="1" x14ac:dyDescent="0.25">
      <c r="A718" s="7" t="s">
        <v>61</v>
      </c>
      <c r="B718" s="2" t="s">
        <v>7967</v>
      </c>
      <c r="C718" s="2" t="s">
        <v>7968</v>
      </c>
      <c r="D718" s="2" t="s">
        <v>7969</v>
      </c>
      <c r="E718" s="3" t="s">
        <v>141</v>
      </c>
      <c r="F718" s="3" t="s">
        <v>59</v>
      </c>
      <c r="G718" s="3" t="s">
        <v>60</v>
      </c>
      <c r="H718" s="3" t="s">
        <v>61</v>
      </c>
      <c r="I718" s="3" t="s">
        <v>61</v>
      </c>
      <c r="J718" s="3" t="s">
        <v>62</v>
      </c>
      <c r="K718" s="2" t="s">
        <v>7970</v>
      </c>
      <c r="L718" s="2" t="s">
        <v>7971</v>
      </c>
      <c r="M718" s="3" t="s">
        <v>3279</v>
      </c>
      <c r="O718" s="3" t="s">
        <v>114</v>
      </c>
      <c r="P718" s="3" t="s">
        <v>235</v>
      </c>
      <c r="R718" s="3" t="s">
        <v>68</v>
      </c>
      <c r="S718" s="4">
        <v>0</v>
      </c>
      <c r="T718" s="4">
        <v>18</v>
      </c>
      <c r="V718" s="5" t="s">
        <v>7972</v>
      </c>
      <c r="W718" s="5" t="s">
        <v>6867</v>
      </c>
      <c r="X718" s="5" t="s">
        <v>6867</v>
      </c>
      <c r="Y718" s="4">
        <v>575</v>
      </c>
      <c r="Z718" s="4">
        <v>553</v>
      </c>
      <c r="AA718" s="4">
        <v>578</v>
      </c>
      <c r="AB718" s="4">
        <v>9</v>
      </c>
      <c r="AC718" s="4">
        <v>9</v>
      </c>
      <c r="AD718" s="4">
        <v>7</v>
      </c>
      <c r="AE718" s="4">
        <v>7</v>
      </c>
      <c r="AF718" s="4">
        <v>4</v>
      </c>
      <c r="AG718" s="4">
        <v>4</v>
      </c>
      <c r="AH718" s="4">
        <v>1</v>
      </c>
      <c r="AI718" s="4">
        <v>1</v>
      </c>
      <c r="AJ718" s="4">
        <v>2</v>
      </c>
      <c r="AK718" s="4">
        <v>2</v>
      </c>
      <c r="AL718" s="4">
        <v>1</v>
      </c>
      <c r="AM718" s="4">
        <v>1</v>
      </c>
      <c r="AN718" s="4">
        <v>0</v>
      </c>
      <c r="AO718" s="4">
        <v>0</v>
      </c>
      <c r="AP718" s="3" t="s">
        <v>61</v>
      </c>
      <c r="AQ718" s="3" t="s">
        <v>61</v>
      </c>
      <c r="AS718" s="6" t="str">
        <f t="shared" si="18"/>
        <v>Catalog Record</v>
      </c>
      <c r="AT718" s="6" t="str">
        <f t="shared" si="19"/>
        <v>WorldCat Record</v>
      </c>
      <c r="AU718" s="3" t="s">
        <v>7973</v>
      </c>
      <c r="AV718" s="3" t="s">
        <v>7974</v>
      </c>
      <c r="AW718" s="3" t="s">
        <v>7975</v>
      </c>
      <c r="AX718" s="3" t="s">
        <v>7975</v>
      </c>
      <c r="AY718" s="3" t="s">
        <v>7976</v>
      </c>
      <c r="AZ718" s="3" t="s">
        <v>75</v>
      </c>
      <c r="BC718" s="3" t="s">
        <v>7979</v>
      </c>
      <c r="BD718" s="3" t="s">
        <v>7980</v>
      </c>
    </row>
    <row r="719" spans="1:56" ht="44.25" customHeight="1" x14ac:dyDescent="0.25">
      <c r="A719" s="7" t="s">
        <v>61</v>
      </c>
      <c r="B719" s="2" t="s">
        <v>7967</v>
      </c>
      <c r="C719" s="2" t="s">
        <v>7968</v>
      </c>
      <c r="D719" s="2" t="s">
        <v>7969</v>
      </c>
      <c r="E719" s="3" t="s">
        <v>99</v>
      </c>
      <c r="F719" s="3" t="s">
        <v>59</v>
      </c>
      <c r="G719" s="3" t="s">
        <v>60</v>
      </c>
      <c r="H719" s="3" t="s">
        <v>61</v>
      </c>
      <c r="I719" s="3" t="s">
        <v>61</v>
      </c>
      <c r="J719" s="3" t="s">
        <v>62</v>
      </c>
      <c r="K719" s="2" t="s">
        <v>7970</v>
      </c>
      <c r="L719" s="2" t="s">
        <v>7971</v>
      </c>
      <c r="M719" s="3" t="s">
        <v>3279</v>
      </c>
      <c r="O719" s="3" t="s">
        <v>114</v>
      </c>
      <c r="P719" s="3" t="s">
        <v>235</v>
      </c>
      <c r="R719" s="3" t="s">
        <v>68</v>
      </c>
      <c r="S719" s="4">
        <v>2</v>
      </c>
      <c r="T719" s="4">
        <v>18</v>
      </c>
      <c r="U719" s="5" t="s">
        <v>7981</v>
      </c>
      <c r="V719" s="5" t="s">
        <v>7972</v>
      </c>
      <c r="W719" s="5" t="s">
        <v>6867</v>
      </c>
      <c r="X719" s="5" t="s">
        <v>6867</v>
      </c>
      <c r="Y719" s="4">
        <v>575</v>
      </c>
      <c r="Z719" s="4">
        <v>553</v>
      </c>
      <c r="AA719" s="4">
        <v>578</v>
      </c>
      <c r="AB719" s="4">
        <v>9</v>
      </c>
      <c r="AC719" s="4">
        <v>9</v>
      </c>
      <c r="AD719" s="4">
        <v>7</v>
      </c>
      <c r="AE719" s="4">
        <v>7</v>
      </c>
      <c r="AF719" s="4">
        <v>4</v>
      </c>
      <c r="AG719" s="4">
        <v>4</v>
      </c>
      <c r="AH719" s="4">
        <v>1</v>
      </c>
      <c r="AI719" s="4">
        <v>1</v>
      </c>
      <c r="AJ719" s="4">
        <v>2</v>
      </c>
      <c r="AK719" s="4">
        <v>2</v>
      </c>
      <c r="AL719" s="4">
        <v>1</v>
      </c>
      <c r="AM719" s="4">
        <v>1</v>
      </c>
      <c r="AN719" s="4">
        <v>0</v>
      </c>
      <c r="AO719" s="4">
        <v>0</v>
      </c>
      <c r="AP719" s="3" t="s">
        <v>61</v>
      </c>
      <c r="AQ719" s="3" t="s">
        <v>61</v>
      </c>
      <c r="AS719" s="6" t="str">
        <f t="shared" si="18"/>
        <v>Catalog Record</v>
      </c>
      <c r="AT719" s="6" t="str">
        <f t="shared" si="19"/>
        <v>WorldCat Record</v>
      </c>
      <c r="AU719" s="3" t="s">
        <v>7973</v>
      </c>
      <c r="AV719" s="3" t="s">
        <v>7974</v>
      </c>
      <c r="AW719" s="3" t="s">
        <v>7975</v>
      </c>
      <c r="AX719" s="3" t="s">
        <v>7975</v>
      </c>
      <c r="AY719" s="3" t="s">
        <v>7976</v>
      </c>
      <c r="AZ719" s="3" t="s">
        <v>75</v>
      </c>
      <c r="BC719" s="3" t="s">
        <v>7982</v>
      </c>
      <c r="BD719" s="3" t="s">
        <v>7983</v>
      </c>
    </row>
    <row r="720" spans="1:56" ht="44.25" customHeight="1" x14ac:dyDescent="0.25">
      <c r="A720" s="7" t="s">
        <v>61</v>
      </c>
      <c r="B720" s="2" t="s">
        <v>7967</v>
      </c>
      <c r="C720" s="2" t="s">
        <v>7968</v>
      </c>
      <c r="D720" s="2" t="s">
        <v>7969</v>
      </c>
      <c r="E720" s="3" t="s">
        <v>93</v>
      </c>
      <c r="F720" s="3" t="s">
        <v>59</v>
      </c>
      <c r="G720" s="3" t="s">
        <v>60</v>
      </c>
      <c r="H720" s="3" t="s">
        <v>61</v>
      </c>
      <c r="I720" s="3" t="s">
        <v>61</v>
      </c>
      <c r="J720" s="3" t="s">
        <v>62</v>
      </c>
      <c r="K720" s="2" t="s">
        <v>7970</v>
      </c>
      <c r="L720" s="2" t="s">
        <v>7971</v>
      </c>
      <c r="M720" s="3" t="s">
        <v>3279</v>
      </c>
      <c r="O720" s="3" t="s">
        <v>114</v>
      </c>
      <c r="P720" s="3" t="s">
        <v>235</v>
      </c>
      <c r="R720" s="3" t="s">
        <v>68</v>
      </c>
      <c r="S720" s="4">
        <v>2</v>
      </c>
      <c r="T720" s="4">
        <v>18</v>
      </c>
      <c r="U720" s="5" t="s">
        <v>7981</v>
      </c>
      <c r="V720" s="5" t="s">
        <v>7972</v>
      </c>
      <c r="W720" s="5" t="s">
        <v>6867</v>
      </c>
      <c r="X720" s="5" t="s">
        <v>6867</v>
      </c>
      <c r="Y720" s="4">
        <v>575</v>
      </c>
      <c r="Z720" s="4">
        <v>553</v>
      </c>
      <c r="AA720" s="4">
        <v>578</v>
      </c>
      <c r="AB720" s="4">
        <v>9</v>
      </c>
      <c r="AC720" s="4">
        <v>9</v>
      </c>
      <c r="AD720" s="4">
        <v>7</v>
      </c>
      <c r="AE720" s="4">
        <v>7</v>
      </c>
      <c r="AF720" s="4">
        <v>4</v>
      </c>
      <c r="AG720" s="4">
        <v>4</v>
      </c>
      <c r="AH720" s="4">
        <v>1</v>
      </c>
      <c r="AI720" s="4">
        <v>1</v>
      </c>
      <c r="AJ720" s="4">
        <v>2</v>
      </c>
      <c r="AK720" s="4">
        <v>2</v>
      </c>
      <c r="AL720" s="4">
        <v>1</v>
      </c>
      <c r="AM720" s="4">
        <v>1</v>
      </c>
      <c r="AN720" s="4">
        <v>0</v>
      </c>
      <c r="AO720" s="4">
        <v>0</v>
      </c>
      <c r="AP720" s="3" t="s">
        <v>61</v>
      </c>
      <c r="AQ720" s="3" t="s">
        <v>61</v>
      </c>
      <c r="AS720" s="6" t="str">
        <f t="shared" si="18"/>
        <v>Catalog Record</v>
      </c>
      <c r="AT720" s="6" t="str">
        <f t="shared" si="19"/>
        <v>WorldCat Record</v>
      </c>
      <c r="AU720" s="3" t="s">
        <v>7973</v>
      </c>
      <c r="AV720" s="3" t="s">
        <v>7974</v>
      </c>
      <c r="AW720" s="3" t="s">
        <v>7975</v>
      </c>
      <c r="AX720" s="3" t="s">
        <v>7975</v>
      </c>
      <c r="AY720" s="3" t="s">
        <v>7976</v>
      </c>
      <c r="AZ720" s="3" t="s">
        <v>75</v>
      </c>
      <c r="BC720" s="3" t="s">
        <v>7984</v>
      </c>
      <c r="BD720" s="3" t="s">
        <v>7985</v>
      </c>
    </row>
    <row r="721" spans="1:56" ht="44.25" customHeight="1" x14ac:dyDescent="0.25">
      <c r="A721" s="7" t="s">
        <v>61</v>
      </c>
      <c r="B721" s="2" t="s">
        <v>7967</v>
      </c>
      <c r="C721" s="2" t="s">
        <v>7968</v>
      </c>
      <c r="D721" s="2" t="s">
        <v>7969</v>
      </c>
      <c r="E721" s="3" t="s">
        <v>7533</v>
      </c>
      <c r="F721" s="3" t="s">
        <v>59</v>
      </c>
      <c r="G721" s="3" t="s">
        <v>60</v>
      </c>
      <c r="H721" s="3" t="s">
        <v>61</v>
      </c>
      <c r="I721" s="3" t="s">
        <v>61</v>
      </c>
      <c r="J721" s="3" t="s">
        <v>62</v>
      </c>
      <c r="K721" s="2" t="s">
        <v>7970</v>
      </c>
      <c r="L721" s="2" t="s">
        <v>7971</v>
      </c>
      <c r="M721" s="3" t="s">
        <v>3279</v>
      </c>
      <c r="O721" s="3" t="s">
        <v>114</v>
      </c>
      <c r="P721" s="3" t="s">
        <v>235</v>
      </c>
      <c r="R721" s="3" t="s">
        <v>68</v>
      </c>
      <c r="S721" s="4">
        <v>0</v>
      </c>
      <c r="T721" s="4">
        <v>18</v>
      </c>
      <c r="V721" s="5" t="s">
        <v>7972</v>
      </c>
      <c r="W721" s="5" t="s">
        <v>6867</v>
      </c>
      <c r="X721" s="5" t="s">
        <v>6867</v>
      </c>
      <c r="Y721" s="4">
        <v>575</v>
      </c>
      <c r="Z721" s="4">
        <v>553</v>
      </c>
      <c r="AA721" s="4">
        <v>578</v>
      </c>
      <c r="AB721" s="4">
        <v>9</v>
      </c>
      <c r="AC721" s="4">
        <v>9</v>
      </c>
      <c r="AD721" s="4">
        <v>7</v>
      </c>
      <c r="AE721" s="4">
        <v>7</v>
      </c>
      <c r="AF721" s="4">
        <v>4</v>
      </c>
      <c r="AG721" s="4">
        <v>4</v>
      </c>
      <c r="AH721" s="4">
        <v>1</v>
      </c>
      <c r="AI721" s="4">
        <v>1</v>
      </c>
      <c r="AJ721" s="4">
        <v>2</v>
      </c>
      <c r="AK721" s="4">
        <v>2</v>
      </c>
      <c r="AL721" s="4">
        <v>1</v>
      </c>
      <c r="AM721" s="4">
        <v>1</v>
      </c>
      <c r="AN721" s="4">
        <v>0</v>
      </c>
      <c r="AO721" s="4">
        <v>0</v>
      </c>
      <c r="AP721" s="3" t="s">
        <v>61</v>
      </c>
      <c r="AQ721" s="3" t="s">
        <v>61</v>
      </c>
      <c r="AS721" s="6" t="str">
        <f t="shared" si="18"/>
        <v>Catalog Record</v>
      </c>
      <c r="AT721" s="6" t="str">
        <f t="shared" si="19"/>
        <v>WorldCat Record</v>
      </c>
      <c r="AU721" s="3" t="s">
        <v>7973</v>
      </c>
      <c r="AV721" s="3" t="s">
        <v>7974</v>
      </c>
      <c r="AW721" s="3" t="s">
        <v>7975</v>
      </c>
      <c r="AX721" s="3" t="s">
        <v>7975</v>
      </c>
      <c r="AY721" s="3" t="s">
        <v>7976</v>
      </c>
      <c r="AZ721" s="3" t="s">
        <v>75</v>
      </c>
      <c r="BC721" s="3" t="s">
        <v>7986</v>
      </c>
      <c r="BD721" s="3" t="s">
        <v>7987</v>
      </c>
    </row>
    <row r="722" spans="1:56" ht="44.25" customHeight="1" x14ac:dyDescent="0.25">
      <c r="A722" s="7" t="s">
        <v>61</v>
      </c>
      <c r="B722" s="2" t="s">
        <v>7967</v>
      </c>
      <c r="C722" s="2" t="s">
        <v>7968</v>
      </c>
      <c r="D722" s="2" t="s">
        <v>7969</v>
      </c>
      <c r="E722" s="3" t="s">
        <v>96</v>
      </c>
      <c r="F722" s="3" t="s">
        <v>59</v>
      </c>
      <c r="G722" s="3" t="s">
        <v>60</v>
      </c>
      <c r="H722" s="3" t="s">
        <v>61</v>
      </c>
      <c r="I722" s="3" t="s">
        <v>61</v>
      </c>
      <c r="J722" s="3" t="s">
        <v>62</v>
      </c>
      <c r="K722" s="2" t="s">
        <v>7970</v>
      </c>
      <c r="L722" s="2" t="s">
        <v>7971</v>
      </c>
      <c r="M722" s="3" t="s">
        <v>3279</v>
      </c>
      <c r="O722" s="3" t="s">
        <v>114</v>
      </c>
      <c r="P722" s="3" t="s">
        <v>235</v>
      </c>
      <c r="R722" s="3" t="s">
        <v>68</v>
      </c>
      <c r="S722" s="4">
        <v>0</v>
      </c>
      <c r="T722" s="4">
        <v>18</v>
      </c>
      <c r="V722" s="5" t="s">
        <v>7972</v>
      </c>
      <c r="W722" s="5" t="s">
        <v>6867</v>
      </c>
      <c r="X722" s="5" t="s">
        <v>6867</v>
      </c>
      <c r="Y722" s="4">
        <v>575</v>
      </c>
      <c r="Z722" s="4">
        <v>553</v>
      </c>
      <c r="AA722" s="4">
        <v>578</v>
      </c>
      <c r="AB722" s="4">
        <v>9</v>
      </c>
      <c r="AC722" s="4">
        <v>9</v>
      </c>
      <c r="AD722" s="4">
        <v>7</v>
      </c>
      <c r="AE722" s="4">
        <v>7</v>
      </c>
      <c r="AF722" s="4">
        <v>4</v>
      </c>
      <c r="AG722" s="4">
        <v>4</v>
      </c>
      <c r="AH722" s="4">
        <v>1</v>
      </c>
      <c r="AI722" s="4">
        <v>1</v>
      </c>
      <c r="AJ722" s="4">
        <v>2</v>
      </c>
      <c r="AK722" s="4">
        <v>2</v>
      </c>
      <c r="AL722" s="4">
        <v>1</v>
      </c>
      <c r="AM722" s="4">
        <v>1</v>
      </c>
      <c r="AN722" s="4">
        <v>0</v>
      </c>
      <c r="AO722" s="4">
        <v>0</v>
      </c>
      <c r="AP722" s="3" t="s">
        <v>61</v>
      </c>
      <c r="AQ722" s="3" t="s">
        <v>61</v>
      </c>
      <c r="AS722" s="6" t="str">
        <f t="shared" si="18"/>
        <v>Catalog Record</v>
      </c>
      <c r="AT722" s="6" t="str">
        <f t="shared" si="19"/>
        <v>WorldCat Record</v>
      </c>
      <c r="AU722" s="3" t="s">
        <v>7973</v>
      </c>
      <c r="AV722" s="3" t="s">
        <v>7974</v>
      </c>
      <c r="AW722" s="3" t="s">
        <v>7975</v>
      </c>
      <c r="AX722" s="3" t="s">
        <v>7975</v>
      </c>
      <c r="AY722" s="3" t="s">
        <v>7976</v>
      </c>
      <c r="AZ722" s="3" t="s">
        <v>75</v>
      </c>
      <c r="BC722" s="3" t="s">
        <v>7988</v>
      </c>
      <c r="BD722" s="3" t="s">
        <v>7989</v>
      </c>
    </row>
    <row r="723" spans="1:56" ht="44.25" customHeight="1" x14ac:dyDescent="0.25">
      <c r="A723" s="7" t="s">
        <v>61</v>
      </c>
      <c r="B723" s="2" t="s">
        <v>7967</v>
      </c>
      <c r="C723" s="2" t="s">
        <v>7968</v>
      </c>
      <c r="D723" s="2" t="s">
        <v>7969</v>
      </c>
      <c r="E723" s="3" t="s">
        <v>78</v>
      </c>
      <c r="F723" s="3" t="s">
        <v>59</v>
      </c>
      <c r="G723" s="3" t="s">
        <v>60</v>
      </c>
      <c r="H723" s="3" t="s">
        <v>61</v>
      </c>
      <c r="I723" s="3" t="s">
        <v>61</v>
      </c>
      <c r="J723" s="3" t="s">
        <v>62</v>
      </c>
      <c r="K723" s="2" t="s">
        <v>7970</v>
      </c>
      <c r="L723" s="2" t="s">
        <v>7971</v>
      </c>
      <c r="M723" s="3" t="s">
        <v>3279</v>
      </c>
      <c r="O723" s="3" t="s">
        <v>114</v>
      </c>
      <c r="P723" s="3" t="s">
        <v>235</v>
      </c>
      <c r="R723" s="3" t="s">
        <v>68</v>
      </c>
      <c r="S723" s="4">
        <v>1</v>
      </c>
      <c r="T723" s="4">
        <v>18</v>
      </c>
      <c r="U723" s="5" t="s">
        <v>7990</v>
      </c>
      <c r="V723" s="5" t="s">
        <v>7972</v>
      </c>
      <c r="W723" s="5" t="s">
        <v>6867</v>
      </c>
      <c r="X723" s="5" t="s">
        <v>6867</v>
      </c>
      <c r="Y723" s="4">
        <v>575</v>
      </c>
      <c r="Z723" s="4">
        <v>553</v>
      </c>
      <c r="AA723" s="4">
        <v>578</v>
      </c>
      <c r="AB723" s="4">
        <v>9</v>
      </c>
      <c r="AC723" s="4">
        <v>9</v>
      </c>
      <c r="AD723" s="4">
        <v>7</v>
      </c>
      <c r="AE723" s="4">
        <v>7</v>
      </c>
      <c r="AF723" s="4">
        <v>4</v>
      </c>
      <c r="AG723" s="4">
        <v>4</v>
      </c>
      <c r="AH723" s="4">
        <v>1</v>
      </c>
      <c r="AI723" s="4">
        <v>1</v>
      </c>
      <c r="AJ723" s="4">
        <v>2</v>
      </c>
      <c r="AK723" s="4">
        <v>2</v>
      </c>
      <c r="AL723" s="4">
        <v>1</v>
      </c>
      <c r="AM723" s="4">
        <v>1</v>
      </c>
      <c r="AN723" s="4">
        <v>0</v>
      </c>
      <c r="AO723" s="4">
        <v>0</v>
      </c>
      <c r="AP723" s="3" t="s">
        <v>61</v>
      </c>
      <c r="AQ723" s="3" t="s">
        <v>61</v>
      </c>
      <c r="AS723" s="6" t="str">
        <f t="shared" si="18"/>
        <v>Catalog Record</v>
      </c>
      <c r="AT723" s="6" t="str">
        <f t="shared" si="19"/>
        <v>WorldCat Record</v>
      </c>
      <c r="AU723" s="3" t="s">
        <v>7973</v>
      </c>
      <c r="AV723" s="3" t="s">
        <v>7974</v>
      </c>
      <c r="AW723" s="3" t="s">
        <v>7975</v>
      </c>
      <c r="AX723" s="3" t="s">
        <v>7975</v>
      </c>
      <c r="AY723" s="3" t="s">
        <v>7976</v>
      </c>
      <c r="AZ723" s="3" t="s">
        <v>75</v>
      </c>
      <c r="BC723" s="3" t="s">
        <v>7991</v>
      </c>
      <c r="BD723" s="3" t="s">
        <v>7992</v>
      </c>
    </row>
    <row r="724" spans="1:56" ht="44.25" customHeight="1" x14ac:dyDescent="0.25">
      <c r="A724" s="7" t="s">
        <v>61</v>
      </c>
      <c r="B724" s="2" t="s">
        <v>7967</v>
      </c>
      <c r="C724" s="2" t="s">
        <v>7968</v>
      </c>
      <c r="D724" s="2" t="s">
        <v>7969</v>
      </c>
      <c r="E724" s="3" t="s">
        <v>3548</v>
      </c>
      <c r="F724" s="3" t="s">
        <v>59</v>
      </c>
      <c r="G724" s="3" t="s">
        <v>60</v>
      </c>
      <c r="H724" s="3" t="s">
        <v>61</v>
      </c>
      <c r="I724" s="3" t="s">
        <v>61</v>
      </c>
      <c r="J724" s="3" t="s">
        <v>62</v>
      </c>
      <c r="K724" s="2" t="s">
        <v>7970</v>
      </c>
      <c r="L724" s="2" t="s">
        <v>7971</v>
      </c>
      <c r="M724" s="3" t="s">
        <v>3279</v>
      </c>
      <c r="O724" s="3" t="s">
        <v>114</v>
      </c>
      <c r="P724" s="3" t="s">
        <v>235</v>
      </c>
      <c r="R724" s="3" t="s">
        <v>68</v>
      </c>
      <c r="S724" s="4">
        <v>0</v>
      </c>
      <c r="T724" s="4">
        <v>18</v>
      </c>
      <c r="V724" s="5" t="s">
        <v>7972</v>
      </c>
      <c r="W724" s="5" t="s">
        <v>6867</v>
      </c>
      <c r="X724" s="5" t="s">
        <v>6867</v>
      </c>
      <c r="Y724" s="4">
        <v>575</v>
      </c>
      <c r="Z724" s="4">
        <v>553</v>
      </c>
      <c r="AA724" s="4">
        <v>578</v>
      </c>
      <c r="AB724" s="4">
        <v>9</v>
      </c>
      <c r="AC724" s="4">
        <v>9</v>
      </c>
      <c r="AD724" s="4">
        <v>7</v>
      </c>
      <c r="AE724" s="4">
        <v>7</v>
      </c>
      <c r="AF724" s="4">
        <v>4</v>
      </c>
      <c r="AG724" s="4">
        <v>4</v>
      </c>
      <c r="AH724" s="4">
        <v>1</v>
      </c>
      <c r="AI724" s="4">
        <v>1</v>
      </c>
      <c r="AJ724" s="4">
        <v>2</v>
      </c>
      <c r="AK724" s="4">
        <v>2</v>
      </c>
      <c r="AL724" s="4">
        <v>1</v>
      </c>
      <c r="AM724" s="4">
        <v>1</v>
      </c>
      <c r="AN724" s="4">
        <v>0</v>
      </c>
      <c r="AO724" s="4">
        <v>0</v>
      </c>
      <c r="AP724" s="3" t="s">
        <v>61</v>
      </c>
      <c r="AQ724" s="3" t="s">
        <v>61</v>
      </c>
      <c r="AS724" s="6" t="str">
        <f t="shared" si="18"/>
        <v>Catalog Record</v>
      </c>
      <c r="AT724" s="6" t="str">
        <f t="shared" si="19"/>
        <v>WorldCat Record</v>
      </c>
      <c r="AU724" s="3" t="s">
        <v>7973</v>
      </c>
      <c r="AV724" s="3" t="s">
        <v>7974</v>
      </c>
      <c r="AW724" s="3" t="s">
        <v>7975</v>
      </c>
      <c r="AX724" s="3" t="s">
        <v>7975</v>
      </c>
      <c r="AY724" s="3" t="s">
        <v>7976</v>
      </c>
      <c r="AZ724" s="3" t="s">
        <v>75</v>
      </c>
      <c r="BC724" s="3" t="s">
        <v>7993</v>
      </c>
      <c r="BD724" s="3" t="s">
        <v>7994</v>
      </c>
    </row>
    <row r="725" spans="1:56" ht="44.25" customHeight="1" x14ac:dyDescent="0.25">
      <c r="A725" s="7" t="s">
        <v>61</v>
      </c>
      <c r="B725" s="2" t="s">
        <v>7967</v>
      </c>
      <c r="C725" s="2" t="s">
        <v>7968</v>
      </c>
      <c r="D725" s="2" t="s">
        <v>7969</v>
      </c>
      <c r="E725" s="3" t="s">
        <v>87</v>
      </c>
      <c r="F725" s="3" t="s">
        <v>59</v>
      </c>
      <c r="G725" s="3" t="s">
        <v>60</v>
      </c>
      <c r="H725" s="3" t="s">
        <v>61</v>
      </c>
      <c r="I725" s="3" t="s">
        <v>61</v>
      </c>
      <c r="J725" s="3" t="s">
        <v>62</v>
      </c>
      <c r="K725" s="2" t="s">
        <v>7970</v>
      </c>
      <c r="L725" s="2" t="s">
        <v>7971</v>
      </c>
      <c r="M725" s="3" t="s">
        <v>3279</v>
      </c>
      <c r="O725" s="3" t="s">
        <v>114</v>
      </c>
      <c r="P725" s="3" t="s">
        <v>235</v>
      </c>
      <c r="R725" s="3" t="s">
        <v>68</v>
      </c>
      <c r="S725" s="4">
        <v>3</v>
      </c>
      <c r="T725" s="4">
        <v>18</v>
      </c>
      <c r="U725" s="5" t="s">
        <v>7981</v>
      </c>
      <c r="V725" s="5" t="s">
        <v>7972</v>
      </c>
      <c r="W725" s="5" t="s">
        <v>6867</v>
      </c>
      <c r="X725" s="5" t="s">
        <v>6867</v>
      </c>
      <c r="Y725" s="4">
        <v>575</v>
      </c>
      <c r="Z725" s="4">
        <v>553</v>
      </c>
      <c r="AA725" s="4">
        <v>578</v>
      </c>
      <c r="AB725" s="4">
        <v>9</v>
      </c>
      <c r="AC725" s="4">
        <v>9</v>
      </c>
      <c r="AD725" s="4">
        <v>7</v>
      </c>
      <c r="AE725" s="4">
        <v>7</v>
      </c>
      <c r="AF725" s="4">
        <v>4</v>
      </c>
      <c r="AG725" s="4">
        <v>4</v>
      </c>
      <c r="AH725" s="4">
        <v>1</v>
      </c>
      <c r="AI725" s="4">
        <v>1</v>
      </c>
      <c r="AJ725" s="4">
        <v>2</v>
      </c>
      <c r="AK725" s="4">
        <v>2</v>
      </c>
      <c r="AL725" s="4">
        <v>1</v>
      </c>
      <c r="AM725" s="4">
        <v>1</v>
      </c>
      <c r="AN725" s="4">
        <v>0</v>
      </c>
      <c r="AO725" s="4">
        <v>0</v>
      </c>
      <c r="AP725" s="3" t="s">
        <v>61</v>
      </c>
      <c r="AQ725" s="3" t="s">
        <v>61</v>
      </c>
      <c r="AS725" s="6" t="str">
        <f t="shared" si="18"/>
        <v>Catalog Record</v>
      </c>
      <c r="AT725" s="6" t="str">
        <f t="shared" si="19"/>
        <v>WorldCat Record</v>
      </c>
      <c r="AU725" s="3" t="s">
        <v>7973</v>
      </c>
      <c r="AV725" s="3" t="s">
        <v>7974</v>
      </c>
      <c r="AW725" s="3" t="s">
        <v>7975</v>
      </c>
      <c r="AX725" s="3" t="s">
        <v>7975</v>
      </c>
      <c r="AY725" s="3" t="s">
        <v>7976</v>
      </c>
      <c r="AZ725" s="3" t="s">
        <v>75</v>
      </c>
      <c r="BC725" s="3" t="s">
        <v>7995</v>
      </c>
      <c r="BD725" s="3" t="s">
        <v>7996</v>
      </c>
    </row>
    <row r="726" spans="1:56" ht="44.25" customHeight="1" x14ac:dyDescent="0.25">
      <c r="A726" s="7" t="s">
        <v>61</v>
      </c>
      <c r="B726" s="2" t="s">
        <v>7967</v>
      </c>
      <c r="C726" s="2" t="s">
        <v>7968</v>
      </c>
      <c r="D726" s="2" t="s">
        <v>7969</v>
      </c>
      <c r="E726" s="3" t="s">
        <v>58</v>
      </c>
      <c r="F726" s="3" t="s">
        <v>59</v>
      </c>
      <c r="G726" s="3" t="s">
        <v>60</v>
      </c>
      <c r="H726" s="3" t="s">
        <v>61</v>
      </c>
      <c r="I726" s="3" t="s">
        <v>61</v>
      </c>
      <c r="J726" s="3" t="s">
        <v>62</v>
      </c>
      <c r="K726" s="2" t="s">
        <v>7970</v>
      </c>
      <c r="L726" s="2" t="s">
        <v>7971</v>
      </c>
      <c r="M726" s="3" t="s">
        <v>3279</v>
      </c>
      <c r="O726" s="3" t="s">
        <v>114</v>
      </c>
      <c r="P726" s="3" t="s">
        <v>235</v>
      </c>
      <c r="R726" s="3" t="s">
        <v>68</v>
      </c>
      <c r="S726" s="4">
        <v>0</v>
      </c>
      <c r="T726" s="4">
        <v>18</v>
      </c>
      <c r="V726" s="5" t="s">
        <v>7972</v>
      </c>
      <c r="W726" s="5" t="s">
        <v>6867</v>
      </c>
      <c r="X726" s="5" t="s">
        <v>6867</v>
      </c>
      <c r="Y726" s="4">
        <v>575</v>
      </c>
      <c r="Z726" s="4">
        <v>553</v>
      </c>
      <c r="AA726" s="4">
        <v>578</v>
      </c>
      <c r="AB726" s="4">
        <v>9</v>
      </c>
      <c r="AC726" s="4">
        <v>9</v>
      </c>
      <c r="AD726" s="4">
        <v>7</v>
      </c>
      <c r="AE726" s="4">
        <v>7</v>
      </c>
      <c r="AF726" s="4">
        <v>4</v>
      </c>
      <c r="AG726" s="4">
        <v>4</v>
      </c>
      <c r="AH726" s="4">
        <v>1</v>
      </c>
      <c r="AI726" s="4">
        <v>1</v>
      </c>
      <c r="AJ726" s="4">
        <v>2</v>
      </c>
      <c r="AK726" s="4">
        <v>2</v>
      </c>
      <c r="AL726" s="4">
        <v>1</v>
      </c>
      <c r="AM726" s="4">
        <v>1</v>
      </c>
      <c r="AN726" s="4">
        <v>0</v>
      </c>
      <c r="AO726" s="4">
        <v>0</v>
      </c>
      <c r="AP726" s="3" t="s">
        <v>61</v>
      </c>
      <c r="AQ726" s="3" t="s">
        <v>61</v>
      </c>
      <c r="AS726" s="6" t="str">
        <f t="shared" si="18"/>
        <v>Catalog Record</v>
      </c>
      <c r="AT726" s="6" t="str">
        <f t="shared" si="19"/>
        <v>WorldCat Record</v>
      </c>
      <c r="AU726" s="3" t="s">
        <v>7973</v>
      </c>
      <c r="AV726" s="3" t="s">
        <v>7974</v>
      </c>
      <c r="AW726" s="3" t="s">
        <v>7975</v>
      </c>
      <c r="AX726" s="3" t="s">
        <v>7975</v>
      </c>
      <c r="AY726" s="3" t="s">
        <v>7976</v>
      </c>
      <c r="AZ726" s="3" t="s">
        <v>75</v>
      </c>
      <c r="BC726" s="3" t="s">
        <v>7997</v>
      </c>
      <c r="BD726" s="3" t="s">
        <v>7998</v>
      </c>
    </row>
    <row r="727" spans="1:56" ht="44.25" customHeight="1" x14ac:dyDescent="0.25">
      <c r="A727" s="7" t="s">
        <v>61</v>
      </c>
      <c r="B727" s="2" t="s">
        <v>7967</v>
      </c>
      <c r="C727" s="2" t="s">
        <v>7968</v>
      </c>
      <c r="D727" s="2" t="s">
        <v>7969</v>
      </c>
      <c r="E727" s="3" t="s">
        <v>102</v>
      </c>
      <c r="F727" s="3" t="s">
        <v>59</v>
      </c>
      <c r="G727" s="3" t="s">
        <v>60</v>
      </c>
      <c r="H727" s="3" t="s">
        <v>61</v>
      </c>
      <c r="I727" s="3" t="s">
        <v>61</v>
      </c>
      <c r="J727" s="3" t="s">
        <v>62</v>
      </c>
      <c r="K727" s="2" t="s">
        <v>7970</v>
      </c>
      <c r="L727" s="2" t="s">
        <v>7971</v>
      </c>
      <c r="M727" s="3" t="s">
        <v>3279</v>
      </c>
      <c r="O727" s="3" t="s">
        <v>114</v>
      </c>
      <c r="P727" s="3" t="s">
        <v>235</v>
      </c>
      <c r="R727" s="3" t="s">
        <v>68</v>
      </c>
      <c r="S727" s="4">
        <v>1</v>
      </c>
      <c r="T727" s="4">
        <v>18</v>
      </c>
      <c r="V727" s="5" t="s">
        <v>7972</v>
      </c>
      <c r="W727" s="5" t="s">
        <v>6867</v>
      </c>
      <c r="X727" s="5" t="s">
        <v>6867</v>
      </c>
      <c r="Y727" s="4">
        <v>575</v>
      </c>
      <c r="Z727" s="4">
        <v>553</v>
      </c>
      <c r="AA727" s="4">
        <v>578</v>
      </c>
      <c r="AB727" s="4">
        <v>9</v>
      </c>
      <c r="AC727" s="4">
        <v>9</v>
      </c>
      <c r="AD727" s="4">
        <v>7</v>
      </c>
      <c r="AE727" s="4">
        <v>7</v>
      </c>
      <c r="AF727" s="4">
        <v>4</v>
      </c>
      <c r="AG727" s="4">
        <v>4</v>
      </c>
      <c r="AH727" s="4">
        <v>1</v>
      </c>
      <c r="AI727" s="4">
        <v>1</v>
      </c>
      <c r="AJ727" s="4">
        <v>2</v>
      </c>
      <c r="AK727" s="4">
        <v>2</v>
      </c>
      <c r="AL727" s="4">
        <v>1</v>
      </c>
      <c r="AM727" s="4">
        <v>1</v>
      </c>
      <c r="AN727" s="4">
        <v>0</v>
      </c>
      <c r="AO727" s="4">
        <v>0</v>
      </c>
      <c r="AP727" s="3" t="s">
        <v>61</v>
      </c>
      <c r="AQ727" s="3" t="s">
        <v>61</v>
      </c>
      <c r="AS727" s="6" t="str">
        <f t="shared" si="18"/>
        <v>Catalog Record</v>
      </c>
      <c r="AT727" s="6" t="str">
        <f t="shared" si="19"/>
        <v>WorldCat Record</v>
      </c>
      <c r="AU727" s="3" t="s">
        <v>7973</v>
      </c>
      <c r="AV727" s="3" t="s">
        <v>7974</v>
      </c>
      <c r="AW727" s="3" t="s">
        <v>7975</v>
      </c>
      <c r="AX727" s="3" t="s">
        <v>7975</v>
      </c>
      <c r="AY727" s="3" t="s">
        <v>7976</v>
      </c>
      <c r="AZ727" s="3" t="s">
        <v>75</v>
      </c>
      <c r="BC727" s="3" t="s">
        <v>7999</v>
      </c>
      <c r="BD727" s="3" t="s">
        <v>8000</v>
      </c>
    </row>
    <row r="728" spans="1:56" ht="44.25" customHeight="1" x14ac:dyDescent="0.25">
      <c r="A728" s="7" t="s">
        <v>61</v>
      </c>
      <c r="B728" s="2" t="s">
        <v>7967</v>
      </c>
      <c r="C728" s="2" t="s">
        <v>7968</v>
      </c>
      <c r="D728" s="2" t="s">
        <v>7969</v>
      </c>
      <c r="E728" s="3" t="s">
        <v>3555</v>
      </c>
      <c r="F728" s="3" t="s">
        <v>59</v>
      </c>
      <c r="G728" s="3" t="s">
        <v>60</v>
      </c>
      <c r="H728" s="3" t="s">
        <v>61</v>
      </c>
      <c r="I728" s="3" t="s">
        <v>61</v>
      </c>
      <c r="J728" s="3" t="s">
        <v>62</v>
      </c>
      <c r="K728" s="2" t="s">
        <v>7970</v>
      </c>
      <c r="L728" s="2" t="s">
        <v>7971</v>
      </c>
      <c r="M728" s="3" t="s">
        <v>3279</v>
      </c>
      <c r="O728" s="3" t="s">
        <v>114</v>
      </c>
      <c r="P728" s="3" t="s">
        <v>235</v>
      </c>
      <c r="R728" s="3" t="s">
        <v>68</v>
      </c>
      <c r="S728" s="4">
        <v>0</v>
      </c>
      <c r="T728" s="4">
        <v>18</v>
      </c>
      <c r="V728" s="5" t="s">
        <v>7972</v>
      </c>
      <c r="W728" s="5" t="s">
        <v>6867</v>
      </c>
      <c r="X728" s="5" t="s">
        <v>6867</v>
      </c>
      <c r="Y728" s="4">
        <v>575</v>
      </c>
      <c r="Z728" s="4">
        <v>553</v>
      </c>
      <c r="AA728" s="4">
        <v>578</v>
      </c>
      <c r="AB728" s="4">
        <v>9</v>
      </c>
      <c r="AC728" s="4">
        <v>9</v>
      </c>
      <c r="AD728" s="4">
        <v>7</v>
      </c>
      <c r="AE728" s="4">
        <v>7</v>
      </c>
      <c r="AF728" s="4">
        <v>4</v>
      </c>
      <c r="AG728" s="4">
        <v>4</v>
      </c>
      <c r="AH728" s="4">
        <v>1</v>
      </c>
      <c r="AI728" s="4">
        <v>1</v>
      </c>
      <c r="AJ728" s="4">
        <v>2</v>
      </c>
      <c r="AK728" s="4">
        <v>2</v>
      </c>
      <c r="AL728" s="4">
        <v>1</v>
      </c>
      <c r="AM728" s="4">
        <v>1</v>
      </c>
      <c r="AN728" s="4">
        <v>0</v>
      </c>
      <c r="AO728" s="4">
        <v>0</v>
      </c>
      <c r="AP728" s="3" t="s">
        <v>61</v>
      </c>
      <c r="AQ728" s="3" t="s">
        <v>61</v>
      </c>
      <c r="AS728" s="6" t="str">
        <f t="shared" si="18"/>
        <v>Catalog Record</v>
      </c>
      <c r="AT728" s="6" t="str">
        <f t="shared" si="19"/>
        <v>WorldCat Record</v>
      </c>
      <c r="AU728" s="3" t="s">
        <v>7973</v>
      </c>
      <c r="AV728" s="3" t="s">
        <v>7974</v>
      </c>
      <c r="AW728" s="3" t="s">
        <v>7975</v>
      </c>
      <c r="AX728" s="3" t="s">
        <v>7975</v>
      </c>
      <c r="AY728" s="3" t="s">
        <v>7976</v>
      </c>
      <c r="AZ728" s="3" t="s">
        <v>75</v>
      </c>
      <c r="BC728" s="3" t="s">
        <v>8001</v>
      </c>
      <c r="BD728" s="3" t="s">
        <v>8002</v>
      </c>
    </row>
    <row r="729" spans="1:56" ht="44.25" customHeight="1" x14ac:dyDescent="0.25">
      <c r="A729" s="7" t="s">
        <v>61</v>
      </c>
      <c r="B729" s="2" t="s">
        <v>7967</v>
      </c>
      <c r="C729" s="2" t="s">
        <v>7968</v>
      </c>
      <c r="D729" s="2" t="s">
        <v>7969</v>
      </c>
      <c r="E729" s="3" t="s">
        <v>7548</v>
      </c>
      <c r="F729" s="3" t="s">
        <v>59</v>
      </c>
      <c r="G729" s="3" t="s">
        <v>60</v>
      </c>
      <c r="H729" s="3" t="s">
        <v>61</v>
      </c>
      <c r="I729" s="3" t="s">
        <v>61</v>
      </c>
      <c r="J729" s="3" t="s">
        <v>62</v>
      </c>
      <c r="K729" s="2" t="s">
        <v>7970</v>
      </c>
      <c r="L729" s="2" t="s">
        <v>7971</v>
      </c>
      <c r="M729" s="3" t="s">
        <v>3279</v>
      </c>
      <c r="O729" s="3" t="s">
        <v>114</v>
      </c>
      <c r="P729" s="3" t="s">
        <v>235</v>
      </c>
      <c r="R729" s="3" t="s">
        <v>68</v>
      </c>
      <c r="S729" s="4">
        <v>1</v>
      </c>
      <c r="T729" s="4">
        <v>18</v>
      </c>
      <c r="V729" s="5" t="s">
        <v>7972</v>
      </c>
      <c r="W729" s="5" t="s">
        <v>6867</v>
      </c>
      <c r="X729" s="5" t="s">
        <v>6867</v>
      </c>
      <c r="Y729" s="4">
        <v>575</v>
      </c>
      <c r="Z729" s="4">
        <v>553</v>
      </c>
      <c r="AA729" s="4">
        <v>578</v>
      </c>
      <c r="AB729" s="4">
        <v>9</v>
      </c>
      <c r="AC729" s="4">
        <v>9</v>
      </c>
      <c r="AD729" s="4">
        <v>7</v>
      </c>
      <c r="AE729" s="4">
        <v>7</v>
      </c>
      <c r="AF729" s="4">
        <v>4</v>
      </c>
      <c r="AG729" s="4">
        <v>4</v>
      </c>
      <c r="AH729" s="4">
        <v>1</v>
      </c>
      <c r="AI729" s="4">
        <v>1</v>
      </c>
      <c r="AJ729" s="4">
        <v>2</v>
      </c>
      <c r="AK729" s="4">
        <v>2</v>
      </c>
      <c r="AL729" s="4">
        <v>1</v>
      </c>
      <c r="AM729" s="4">
        <v>1</v>
      </c>
      <c r="AN729" s="4">
        <v>0</v>
      </c>
      <c r="AO729" s="4">
        <v>0</v>
      </c>
      <c r="AP729" s="3" t="s">
        <v>61</v>
      </c>
      <c r="AQ729" s="3" t="s">
        <v>61</v>
      </c>
      <c r="AS729" s="6" t="str">
        <f t="shared" si="18"/>
        <v>Catalog Record</v>
      </c>
      <c r="AT729" s="6" t="str">
        <f t="shared" si="19"/>
        <v>WorldCat Record</v>
      </c>
      <c r="AU729" s="3" t="s">
        <v>7973</v>
      </c>
      <c r="AV729" s="3" t="s">
        <v>7974</v>
      </c>
      <c r="AW729" s="3" t="s">
        <v>7975</v>
      </c>
      <c r="AX729" s="3" t="s">
        <v>7975</v>
      </c>
      <c r="AY729" s="3" t="s">
        <v>7976</v>
      </c>
      <c r="AZ729" s="3" t="s">
        <v>75</v>
      </c>
      <c r="BC729" s="3" t="s">
        <v>8003</v>
      </c>
      <c r="BD729" s="3" t="s">
        <v>8004</v>
      </c>
    </row>
    <row r="730" spans="1:56" ht="44.25" customHeight="1" x14ac:dyDescent="0.25">
      <c r="A730" s="7" t="s">
        <v>61</v>
      </c>
      <c r="B730" s="2" t="s">
        <v>7967</v>
      </c>
      <c r="C730" s="2" t="s">
        <v>7968</v>
      </c>
      <c r="D730" s="2" t="s">
        <v>7969</v>
      </c>
      <c r="E730" s="3" t="s">
        <v>7648</v>
      </c>
      <c r="F730" s="3" t="s">
        <v>59</v>
      </c>
      <c r="G730" s="3" t="s">
        <v>60</v>
      </c>
      <c r="H730" s="3" t="s">
        <v>61</v>
      </c>
      <c r="I730" s="3" t="s">
        <v>61</v>
      </c>
      <c r="J730" s="3" t="s">
        <v>62</v>
      </c>
      <c r="K730" s="2" t="s">
        <v>7970</v>
      </c>
      <c r="L730" s="2" t="s">
        <v>7971</v>
      </c>
      <c r="M730" s="3" t="s">
        <v>3279</v>
      </c>
      <c r="O730" s="3" t="s">
        <v>114</v>
      </c>
      <c r="P730" s="3" t="s">
        <v>235</v>
      </c>
      <c r="R730" s="3" t="s">
        <v>68</v>
      </c>
      <c r="S730" s="4">
        <v>1</v>
      </c>
      <c r="T730" s="4">
        <v>18</v>
      </c>
      <c r="V730" s="5" t="s">
        <v>7972</v>
      </c>
      <c r="W730" s="5" t="s">
        <v>6867</v>
      </c>
      <c r="X730" s="5" t="s">
        <v>6867</v>
      </c>
      <c r="Y730" s="4">
        <v>575</v>
      </c>
      <c r="Z730" s="4">
        <v>553</v>
      </c>
      <c r="AA730" s="4">
        <v>578</v>
      </c>
      <c r="AB730" s="4">
        <v>9</v>
      </c>
      <c r="AC730" s="4">
        <v>9</v>
      </c>
      <c r="AD730" s="4">
        <v>7</v>
      </c>
      <c r="AE730" s="4">
        <v>7</v>
      </c>
      <c r="AF730" s="4">
        <v>4</v>
      </c>
      <c r="AG730" s="4">
        <v>4</v>
      </c>
      <c r="AH730" s="4">
        <v>1</v>
      </c>
      <c r="AI730" s="4">
        <v>1</v>
      </c>
      <c r="AJ730" s="4">
        <v>2</v>
      </c>
      <c r="AK730" s="4">
        <v>2</v>
      </c>
      <c r="AL730" s="4">
        <v>1</v>
      </c>
      <c r="AM730" s="4">
        <v>1</v>
      </c>
      <c r="AN730" s="4">
        <v>0</v>
      </c>
      <c r="AO730" s="4">
        <v>0</v>
      </c>
      <c r="AP730" s="3" t="s">
        <v>61</v>
      </c>
      <c r="AQ730" s="3" t="s">
        <v>61</v>
      </c>
      <c r="AS730" s="6" t="str">
        <f t="shared" si="18"/>
        <v>Catalog Record</v>
      </c>
      <c r="AT730" s="6" t="str">
        <f t="shared" si="19"/>
        <v>WorldCat Record</v>
      </c>
      <c r="AU730" s="3" t="s">
        <v>7973</v>
      </c>
      <c r="AV730" s="3" t="s">
        <v>7974</v>
      </c>
      <c r="AW730" s="3" t="s">
        <v>7975</v>
      </c>
      <c r="AX730" s="3" t="s">
        <v>7975</v>
      </c>
      <c r="AY730" s="3" t="s">
        <v>7976</v>
      </c>
      <c r="AZ730" s="3" t="s">
        <v>75</v>
      </c>
      <c r="BC730" s="3" t="s">
        <v>8005</v>
      </c>
      <c r="BD730" s="3" t="s">
        <v>8006</v>
      </c>
    </row>
    <row r="731" spans="1:56" ht="44.25" customHeight="1" x14ac:dyDescent="0.25">
      <c r="A731" s="7" t="s">
        <v>61</v>
      </c>
      <c r="B731" s="2" t="s">
        <v>7967</v>
      </c>
      <c r="C731" s="2" t="s">
        <v>7968</v>
      </c>
      <c r="D731" s="2" t="s">
        <v>7969</v>
      </c>
      <c r="E731" s="3" t="s">
        <v>84</v>
      </c>
      <c r="F731" s="3" t="s">
        <v>59</v>
      </c>
      <c r="G731" s="3" t="s">
        <v>60</v>
      </c>
      <c r="H731" s="3" t="s">
        <v>61</v>
      </c>
      <c r="I731" s="3" t="s">
        <v>61</v>
      </c>
      <c r="J731" s="3" t="s">
        <v>62</v>
      </c>
      <c r="K731" s="2" t="s">
        <v>7970</v>
      </c>
      <c r="L731" s="2" t="s">
        <v>7971</v>
      </c>
      <c r="M731" s="3" t="s">
        <v>3279</v>
      </c>
      <c r="O731" s="3" t="s">
        <v>114</v>
      </c>
      <c r="P731" s="3" t="s">
        <v>235</v>
      </c>
      <c r="R731" s="3" t="s">
        <v>68</v>
      </c>
      <c r="S731" s="4">
        <v>1</v>
      </c>
      <c r="T731" s="4">
        <v>18</v>
      </c>
      <c r="U731" s="5" t="s">
        <v>8007</v>
      </c>
      <c r="V731" s="5" t="s">
        <v>7972</v>
      </c>
      <c r="W731" s="5" t="s">
        <v>8008</v>
      </c>
      <c r="X731" s="5" t="s">
        <v>6867</v>
      </c>
      <c r="Y731" s="4">
        <v>575</v>
      </c>
      <c r="Z731" s="4">
        <v>553</v>
      </c>
      <c r="AA731" s="4">
        <v>578</v>
      </c>
      <c r="AB731" s="4">
        <v>9</v>
      </c>
      <c r="AC731" s="4">
        <v>9</v>
      </c>
      <c r="AD731" s="4">
        <v>7</v>
      </c>
      <c r="AE731" s="4">
        <v>7</v>
      </c>
      <c r="AF731" s="4">
        <v>4</v>
      </c>
      <c r="AG731" s="4">
        <v>4</v>
      </c>
      <c r="AH731" s="4">
        <v>1</v>
      </c>
      <c r="AI731" s="4">
        <v>1</v>
      </c>
      <c r="AJ731" s="4">
        <v>2</v>
      </c>
      <c r="AK731" s="4">
        <v>2</v>
      </c>
      <c r="AL731" s="4">
        <v>1</v>
      </c>
      <c r="AM731" s="4">
        <v>1</v>
      </c>
      <c r="AN731" s="4">
        <v>0</v>
      </c>
      <c r="AO731" s="4">
        <v>0</v>
      </c>
      <c r="AP731" s="3" t="s">
        <v>61</v>
      </c>
      <c r="AQ731" s="3" t="s">
        <v>61</v>
      </c>
      <c r="AS731" s="6" t="str">
        <f t="shared" si="18"/>
        <v>Catalog Record</v>
      </c>
      <c r="AT731" s="6" t="str">
        <f t="shared" si="19"/>
        <v>WorldCat Record</v>
      </c>
      <c r="AU731" s="3" t="s">
        <v>7973</v>
      </c>
      <c r="AV731" s="3" t="s">
        <v>7974</v>
      </c>
      <c r="AW731" s="3" t="s">
        <v>7975</v>
      </c>
      <c r="AX731" s="3" t="s">
        <v>7975</v>
      </c>
      <c r="AY731" s="3" t="s">
        <v>7976</v>
      </c>
      <c r="AZ731" s="3" t="s">
        <v>75</v>
      </c>
      <c r="BC731" s="3" t="s">
        <v>8009</v>
      </c>
      <c r="BD731" s="3" t="s">
        <v>8010</v>
      </c>
    </row>
    <row r="732" spans="1:56" ht="44.25" customHeight="1" x14ac:dyDescent="0.25">
      <c r="A732" s="7" t="s">
        <v>61</v>
      </c>
      <c r="B732" s="2" t="s">
        <v>7967</v>
      </c>
      <c r="C732" s="2" t="s">
        <v>7968</v>
      </c>
      <c r="D732" s="2" t="s">
        <v>7969</v>
      </c>
      <c r="E732" s="3" t="s">
        <v>7580</v>
      </c>
      <c r="F732" s="3" t="s">
        <v>59</v>
      </c>
      <c r="G732" s="3" t="s">
        <v>60</v>
      </c>
      <c r="H732" s="3" t="s">
        <v>61</v>
      </c>
      <c r="I732" s="3" t="s">
        <v>61</v>
      </c>
      <c r="J732" s="3" t="s">
        <v>62</v>
      </c>
      <c r="K732" s="2" t="s">
        <v>7970</v>
      </c>
      <c r="L732" s="2" t="s">
        <v>7971</v>
      </c>
      <c r="M732" s="3" t="s">
        <v>3279</v>
      </c>
      <c r="O732" s="3" t="s">
        <v>114</v>
      </c>
      <c r="P732" s="3" t="s">
        <v>235</v>
      </c>
      <c r="R732" s="3" t="s">
        <v>68</v>
      </c>
      <c r="S732" s="4">
        <v>1</v>
      </c>
      <c r="T732" s="4">
        <v>18</v>
      </c>
      <c r="V732" s="5" t="s">
        <v>7972</v>
      </c>
      <c r="W732" s="5" t="s">
        <v>6867</v>
      </c>
      <c r="X732" s="5" t="s">
        <v>6867</v>
      </c>
      <c r="Y732" s="4">
        <v>575</v>
      </c>
      <c r="Z732" s="4">
        <v>553</v>
      </c>
      <c r="AA732" s="4">
        <v>578</v>
      </c>
      <c r="AB732" s="4">
        <v>9</v>
      </c>
      <c r="AC732" s="4">
        <v>9</v>
      </c>
      <c r="AD732" s="4">
        <v>7</v>
      </c>
      <c r="AE732" s="4">
        <v>7</v>
      </c>
      <c r="AF732" s="4">
        <v>4</v>
      </c>
      <c r="AG732" s="4">
        <v>4</v>
      </c>
      <c r="AH732" s="4">
        <v>1</v>
      </c>
      <c r="AI732" s="4">
        <v>1</v>
      </c>
      <c r="AJ732" s="4">
        <v>2</v>
      </c>
      <c r="AK732" s="4">
        <v>2</v>
      </c>
      <c r="AL732" s="4">
        <v>1</v>
      </c>
      <c r="AM732" s="4">
        <v>1</v>
      </c>
      <c r="AN732" s="4">
        <v>0</v>
      </c>
      <c r="AO732" s="4">
        <v>0</v>
      </c>
      <c r="AP732" s="3" t="s">
        <v>61</v>
      </c>
      <c r="AQ732" s="3" t="s">
        <v>61</v>
      </c>
      <c r="AS732" s="6" t="str">
        <f t="shared" si="18"/>
        <v>Catalog Record</v>
      </c>
      <c r="AT732" s="6" t="str">
        <f t="shared" si="19"/>
        <v>WorldCat Record</v>
      </c>
      <c r="AU732" s="3" t="s">
        <v>7973</v>
      </c>
      <c r="AV732" s="3" t="s">
        <v>7974</v>
      </c>
      <c r="AW732" s="3" t="s">
        <v>7975</v>
      </c>
      <c r="AX732" s="3" t="s">
        <v>7975</v>
      </c>
      <c r="AY732" s="3" t="s">
        <v>7976</v>
      </c>
      <c r="AZ732" s="3" t="s">
        <v>75</v>
      </c>
      <c r="BC732" s="3" t="s">
        <v>8011</v>
      </c>
      <c r="BD732" s="3" t="s">
        <v>8012</v>
      </c>
    </row>
    <row r="733" spans="1:56" ht="44.25" customHeight="1" x14ac:dyDescent="0.25">
      <c r="A733" s="7" t="s">
        <v>61</v>
      </c>
      <c r="B733" s="2" t="s">
        <v>7967</v>
      </c>
      <c r="C733" s="2" t="s">
        <v>7968</v>
      </c>
      <c r="D733" s="2" t="s">
        <v>7969</v>
      </c>
      <c r="E733" s="3" t="s">
        <v>3543</v>
      </c>
      <c r="F733" s="3" t="s">
        <v>59</v>
      </c>
      <c r="G733" s="3" t="s">
        <v>60</v>
      </c>
      <c r="H733" s="3" t="s">
        <v>61</v>
      </c>
      <c r="I733" s="3" t="s">
        <v>61</v>
      </c>
      <c r="J733" s="3" t="s">
        <v>62</v>
      </c>
      <c r="K733" s="2" t="s">
        <v>7970</v>
      </c>
      <c r="L733" s="2" t="s">
        <v>7971</v>
      </c>
      <c r="M733" s="3" t="s">
        <v>3279</v>
      </c>
      <c r="O733" s="3" t="s">
        <v>114</v>
      </c>
      <c r="P733" s="3" t="s">
        <v>235</v>
      </c>
      <c r="R733" s="3" t="s">
        <v>68</v>
      </c>
      <c r="S733" s="4">
        <v>1</v>
      </c>
      <c r="T733" s="4">
        <v>18</v>
      </c>
      <c r="V733" s="5" t="s">
        <v>7972</v>
      </c>
      <c r="W733" s="5" t="s">
        <v>6867</v>
      </c>
      <c r="X733" s="5" t="s">
        <v>6867</v>
      </c>
      <c r="Y733" s="4">
        <v>575</v>
      </c>
      <c r="Z733" s="4">
        <v>553</v>
      </c>
      <c r="AA733" s="4">
        <v>578</v>
      </c>
      <c r="AB733" s="4">
        <v>9</v>
      </c>
      <c r="AC733" s="4">
        <v>9</v>
      </c>
      <c r="AD733" s="4">
        <v>7</v>
      </c>
      <c r="AE733" s="4">
        <v>7</v>
      </c>
      <c r="AF733" s="4">
        <v>4</v>
      </c>
      <c r="AG733" s="4">
        <v>4</v>
      </c>
      <c r="AH733" s="4">
        <v>1</v>
      </c>
      <c r="AI733" s="4">
        <v>1</v>
      </c>
      <c r="AJ733" s="4">
        <v>2</v>
      </c>
      <c r="AK733" s="4">
        <v>2</v>
      </c>
      <c r="AL733" s="4">
        <v>1</v>
      </c>
      <c r="AM733" s="4">
        <v>1</v>
      </c>
      <c r="AN733" s="4">
        <v>0</v>
      </c>
      <c r="AO733" s="4">
        <v>0</v>
      </c>
      <c r="AP733" s="3" t="s">
        <v>61</v>
      </c>
      <c r="AQ733" s="3" t="s">
        <v>61</v>
      </c>
      <c r="AS733" s="6" t="str">
        <f t="shared" si="18"/>
        <v>Catalog Record</v>
      </c>
      <c r="AT733" s="6" t="str">
        <f t="shared" si="19"/>
        <v>WorldCat Record</v>
      </c>
      <c r="AU733" s="3" t="s">
        <v>7973</v>
      </c>
      <c r="AV733" s="3" t="s">
        <v>7974</v>
      </c>
      <c r="AW733" s="3" t="s">
        <v>7975</v>
      </c>
      <c r="AX733" s="3" t="s">
        <v>7975</v>
      </c>
      <c r="AY733" s="3" t="s">
        <v>7976</v>
      </c>
      <c r="AZ733" s="3" t="s">
        <v>75</v>
      </c>
      <c r="BC733" s="3" t="s">
        <v>8013</v>
      </c>
      <c r="BD733" s="3" t="s">
        <v>8014</v>
      </c>
    </row>
    <row r="734" spans="1:56" ht="44.25" customHeight="1" x14ac:dyDescent="0.25">
      <c r="A734" s="7" t="s">
        <v>61</v>
      </c>
      <c r="B734" s="2" t="s">
        <v>7967</v>
      </c>
      <c r="C734" s="2" t="s">
        <v>7968</v>
      </c>
      <c r="D734" s="2" t="s">
        <v>7969</v>
      </c>
      <c r="E734" s="3" t="s">
        <v>81</v>
      </c>
      <c r="F734" s="3" t="s">
        <v>59</v>
      </c>
      <c r="G734" s="3" t="s">
        <v>60</v>
      </c>
      <c r="H734" s="3" t="s">
        <v>61</v>
      </c>
      <c r="I734" s="3" t="s">
        <v>61</v>
      </c>
      <c r="J734" s="3" t="s">
        <v>62</v>
      </c>
      <c r="K734" s="2" t="s">
        <v>7970</v>
      </c>
      <c r="L734" s="2" t="s">
        <v>7971</v>
      </c>
      <c r="M734" s="3" t="s">
        <v>3279</v>
      </c>
      <c r="O734" s="3" t="s">
        <v>114</v>
      </c>
      <c r="P734" s="3" t="s">
        <v>235</v>
      </c>
      <c r="R734" s="3" t="s">
        <v>68</v>
      </c>
      <c r="S734" s="4">
        <v>1</v>
      </c>
      <c r="T734" s="4">
        <v>18</v>
      </c>
      <c r="V734" s="5" t="s">
        <v>7972</v>
      </c>
      <c r="W734" s="5" t="s">
        <v>6867</v>
      </c>
      <c r="X734" s="5" t="s">
        <v>6867</v>
      </c>
      <c r="Y734" s="4">
        <v>575</v>
      </c>
      <c r="Z734" s="4">
        <v>553</v>
      </c>
      <c r="AA734" s="4">
        <v>578</v>
      </c>
      <c r="AB734" s="4">
        <v>9</v>
      </c>
      <c r="AC734" s="4">
        <v>9</v>
      </c>
      <c r="AD734" s="4">
        <v>7</v>
      </c>
      <c r="AE734" s="4">
        <v>7</v>
      </c>
      <c r="AF734" s="4">
        <v>4</v>
      </c>
      <c r="AG734" s="4">
        <v>4</v>
      </c>
      <c r="AH734" s="4">
        <v>1</v>
      </c>
      <c r="AI734" s="4">
        <v>1</v>
      </c>
      <c r="AJ734" s="4">
        <v>2</v>
      </c>
      <c r="AK734" s="4">
        <v>2</v>
      </c>
      <c r="AL734" s="4">
        <v>1</v>
      </c>
      <c r="AM734" s="4">
        <v>1</v>
      </c>
      <c r="AN734" s="4">
        <v>0</v>
      </c>
      <c r="AO734" s="4">
        <v>0</v>
      </c>
      <c r="AP734" s="3" t="s">
        <v>61</v>
      </c>
      <c r="AQ734" s="3" t="s">
        <v>61</v>
      </c>
      <c r="AS734" s="6" t="str">
        <f t="shared" si="18"/>
        <v>Catalog Record</v>
      </c>
      <c r="AT734" s="6" t="str">
        <f t="shared" si="19"/>
        <v>WorldCat Record</v>
      </c>
      <c r="AU734" s="3" t="s">
        <v>7973</v>
      </c>
      <c r="AV734" s="3" t="s">
        <v>7974</v>
      </c>
      <c r="AW734" s="3" t="s">
        <v>7975</v>
      </c>
      <c r="AX734" s="3" t="s">
        <v>7975</v>
      </c>
      <c r="AY734" s="3" t="s">
        <v>7976</v>
      </c>
      <c r="AZ734" s="3" t="s">
        <v>75</v>
      </c>
      <c r="BC734" s="3" t="s">
        <v>8015</v>
      </c>
      <c r="BD734" s="3" t="s">
        <v>8016</v>
      </c>
    </row>
    <row r="735" spans="1:56" ht="44.25" customHeight="1" x14ac:dyDescent="0.25">
      <c r="A735" s="7" t="s">
        <v>61</v>
      </c>
      <c r="B735" s="2" t="s">
        <v>7967</v>
      </c>
      <c r="C735" s="2" t="s">
        <v>7968</v>
      </c>
      <c r="D735" s="2" t="s">
        <v>7969</v>
      </c>
      <c r="E735" s="3" t="s">
        <v>7516</v>
      </c>
      <c r="F735" s="3" t="s">
        <v>59</v>
      </c>
      <c r="G735" s="3" t="s">
        <v>60</v>
      </c>
      <c r="H735" s="3" t="s">
        <v>61</v>
      </c>
      <c r="I735" s="3" t="s">
        <v>61</v>
      </c>
      <c r="J735" s="3" t="s">
        <v>62</v>
      </c>
      <c r="K735" s="2" t="s">
        <v>7970</v>
      </c>
      <c r="L735" s="2" t="s">
        <v>7971</v>
      </c>
      <c r="M735" s="3" t="s">
        <v>3279</v>
      </c>
      <c r="O735" s="3" t="s">
        <v>114</v>
      </c>
      <c r="P735" s="3" t="s">
        <v>235</v>
      </c>
      <c r="R735" s="3" t="s">
        <v>68</v>
      </c>
      <c r="S735" s="4">
        <v>0</v>
      </c>
      <c r="T735" s="4">
        <v>18</v>
      </c>
      <c r="V735" s="5" t="s">
        <v>7972</v>
      </c>
      <c r="W735" s="5" t="s">
        <v>6867</v>
      </c>
      <c r="X735" s="5" t="s">
        <v>6867</v>
      </c>
      <c r="Y735" s="4">
        <v>575</v>
      </c>
      <c r="Z735" s="4">
        <v>553</v>
      </c>
      <c r="AA735" s="4">
        <v>578</v>
      </c>
      <c r="AB735" s="4">
        <v>9</v>
      </c>
      <c r="AC735" s="4">
        <v>9</v>
      </c>
      <c r="AD735" s="4">
        <v>7</v>
      </c>
      <c r="AE735" s="4">
        <v>7</v>
      </c>
      <c r="AF735" s="4">
        <v>4</v>
      </c>
      <c r="AG735" s="4">
        <v>4</v>
      </c>
      <c r="AH735" s="4">
        <v>1</v>
      </c>
      <c r="AI735" s="4">
        <v>1</v>
      </c>
      <c r="AJ735" s="4">
        <v>2</v>
      </c>
      <c r="AK735" s="4">
        <v>2</v>
      </c>
      <c r="AL735" s="4">
        <v>1</v>
      </c>
      <c r="AM735" s="4">
        <v>1</v>
      </c>
      <c r="AN735" s="4">
        <v>0</v>
      </c>
      <c r="AO735" s="4">
        <v>0</v>
      </c>
      <c r="AP735" s="3" t="s">
        <v>61</v>
      </c>
      <c r="AQ735" s="3" t="s">
        <v>61</v>
      </c>
      <c r="AS735" s="6" t="str">
        <f t="shared" si="18"/>
        <v>Catalog Record</v>
      </c>
      <c r="AT735" s="6" t="str">
        <f t="shared" si="19"/>
        <v>WorldCat Record</v>
      </c>
      <c r="AU735" s="3" t="s">
        <v>7973</v>
      </c>
      <c r="AV735" s="3" t="s">
        <v>7974</v>
      </c>
      <c r="AW735" s="3" t="s">
        <v>7975</v>
      </c>
      <c r="AX735" s="3" t="s">
        <v>7975</v>
      </c>
      <c r="AY735" s="3" t="s">
        <v>7976</v>
      </c>
      <c r="AZ735" s="3" t="s">
        <v>75</v>
      </c>
      <c r="BC735" s="3" t="s">
        <v>8017</v>
      </c>
      <c r="BD735" s="3" t="s">
        <v>8018</v>
      </c>
    </row>
    <row r="736" spans="1:56" ht="44.25" customHeight="1" x14ac:dyDescent="0.25">
      <c r="A736" s="7" t="s">
        <v>61</v>
      </c>
      <c r="B736" s="2" t="s">
        <v>7967</v>
      </c>
      <c r="C736" s="2" t="s">
        <v>7968</v>
      </c>
      <c r="D736" s="2" t="s">
        <v>7969</v>
      </c>
      <c r="E736" s="3" t="s">
        <v>7507</v>
      </c>
      <c r="F736" s="3" t="s">
        <v>59</v>
      </c>
      <c r="G736" s="3" t="s">
        <v>60</v>
      </c>
      <c r="H736" s="3" t="s">
        <v>61</v>
      </c>
      <c r="I736" s="3" t="s">
        <v>61</v>
      </c>
      <c r="J736" s="3" t="s">
        <v>62</v>
      </c>
      <c r="K736" s="2" t="s">
        <v>7970</v>
      </c>
      <c r="L736" s="2" t="s">
        <v>7971</v>
      </c>
      <c r="M736" s="3" t="s">
        <v>3279</v>
      </c>
      <c r="O736" s="3" t="s">
        <v>114</v>
      </c>
      <c r="P736" s="3" t="s">
        <v>235</v>
      </c>
      <c r="R736" s="3" t="s">
        <v>68</v>
      </c>
      <c r="S736" s="4">
        <v>0</v>
      </c>
      <c r="T736" s="4">
        <v>18</v>
      </c>
      <c r="V736" s="5" t="s">
        <v>7972</v>
      </c>
      <c r="W736" s="5" t="s">
        <v>6867</v>
      </c>
      <c r="X736" s="5" t="s">
        <v>6867</v>
      </c>
      <c r="Y736" s="4">
        <v>575</v>
      </c>
      <c r="Z736" s="4">
        <v>553</v>
      </c>
      <c r="AA736" s="4">
        <v>578</v>
      </c>
      <c r="AB736" s="4">
        <v>9</v>
      </c>
      <c r="AC736" s="4">
        <v>9</v>
      </c>
      <c r="AD736" s="4">
        <v>7</v>
      </c>
      <c r="AE736" s="4">
        <v>7</v>
      </c>
      <c r="AF736" s="4">
        <v>4</v>
      </c>
      <c r="AG736" s="4">
        <v>4</v>
      </c>
      <c r="AH736" s="4">
        <v>1</v>
      </c>
      <c r="AI736" s="4">
        <v>1</v>
      </c>
      <c r="AJ736" s="4">
        <v>2</v>
      </c>
      <c r="AK736" s="4">
        <v>2</v>
      </c>
      <c r="AL736" s="4">
        <v>1</v>
      </c>
      <c r="AM736" s="4">
        <v>1</v>
      </c>
      <c r="AN736" s="4">
        <v>0</v>
      </c>
      <c r="AO736" s="4">
        <v>0</v>
      </c>
      <c r="AP736" s="3" t="s">
        <v>61</v>
      </c>
      <c r="AQ736" s="3" t="s">
        <v>61</v>
      </c>
      <c r="AS736" s="6" t="str">
        <f t="shared" si="18"/>
        <v>Catalog Record</v>
      </c>
      <c r="AT736" s="6" t="str">
        <f t="shared" si="19"/>
        <v>WorldCat Record</v>
      </c>
      <c r="AU736" s="3" t="s">
        <v>7973</v>
      </c>
      <c r="AV736" s="3" t="s">
        <v>7974</v>
      </c>
      <c r="AW736" s="3" t="s">
        <v>7975</v>
      </c>
      <c r="AX736" s="3" t="s">
        <v>7975</v>
      </c>
      <c r="AY736" s="3" t="s">
        <v>7976</v>
      </c>
      <c r="AZ736" s="3" t="s">
        <v>75</v>
      </c>
      <c r="BC736" s="3" t="s">
        <v>8019</v>
      </c>
      <c r="BD736" s="3" t="s">
        <v>8020</v>
      </c>
    </row>
    <row r="737" spans="1:56" ht="44.25" customHeight="1" x14ac:dyDescent="0.25">
      <c r="A737" s="7" t="s">
        <v>61</v>
      </c>
      <c r="B737" s="2" t="s">
        <v>7967</v>
      </c>
      <c r="C737" s="2" t="s">
        <v>7968</v>
      </c>
      <c r="D737" s="2" t="s">
        <v>7969</v>
      </c>
      <c r="E737" s="3" t="s">
        <v>105</v>
      </c>
      <c r="F737" s="3" t="s">
        <v>59</v>
      </c>
      <c r="G737" s="3" t="s">
        <v>60</v>
      </c>
      <c r="H737" s="3" t="s">
        <v>61</v>
      </c>
      <c r="I737" s="3" t="s">
        <v>61</v>
      </c>
      <c r="J737" s="3" t="s">
        <v>62</v>
      </c>
      <c r="K737" s="2" t="s">
        <v>7970</v>
      </c>
      <c r="L737" s="2" t="s">
        <v>7971</v>
      </c>
      <c r="M737" s="3" t="s">
        <v>3279</v>
      </c>
      <c r="O737" s="3" t="s">
        <v>114</v>
      </c>
      <c r="P737" s="3" t="s">
        <v>235</v>
      </c>
      <c r="R737" s="3" t="s">
        <v>68</v>
      </c>
      <c r="S737" s="4">
        <v>2</v>
      </c>
      <c r="T737" s="4">
        <v>18</v>
      </c>
      <c r="U737" s="5" t="s">
        <v>7972</v>
      </c>
      <c r="V737" s="5" t="s">
        <v>7972</v>
      </c>
      <c r="W737" s="5" t="s">
        <v>6867</v>
      </c>
      <c r="X737" s="5" t="s">
        <v>6867</v>
      </c>
      <c r="Y737" s="4">
        <v>575</v>
      </c>
      <c r="Z737" s="4">
        <v>553</v>
      </c>
      <c r="AA737" s="4">
        <v>578</v>
      </c>
      <c r="AB737" s="4">
        <v>9</v>
      </c>
      <c r="AC737" s="4">
        <v>9</v>
      </c>
      <c r="AD737" s="4">
        <v>7</v>
      </c>
      <c r="AE737" s="4">
        <v>7</v>
      </c>
      <c r="AF737" s="4">
        <v>4</v>
      </c>
      <c r="AG737" s="4">
        <v>4</v>
      </c>
      <c r="AH737" s="4">
        <v>1</v>
      </c>
      <c r="AI737" s="4">
        <v>1</v>
      </c>
      <c r="AJ737" s="4">
        <v>2</v>
      </c>
      <c r="AK737" s="4">
        <v>2</v>
      </c>
      <c r="AL737" s="4">
        <v>1</v>
      </c>
      <c r="AM737" s="4">
        <v>1</v>
      </c>
      <c r="AN737" s="4">
        <v>0</v>
      </c>
      <c r="AO737" s="4">
        <v>0</v>
      </c>
      <c r="AP737" s="3" t="s">
        <v>61</v>
      </c>
      <c r="AQ737" s="3" t="s">
        <v>61</v>
      </c>
      <c r="AS737" s="6" t="str">
        <f t="shared" si="18"/>
        <v>Catalog Record</v>
      </c>
      <c r="AT737" s="6" t="str">
        <f t="shared" si="19"/>
        <v>WorldCat Record</v>
      </c>
      <c r="AU737" s="3" t="s">
        <v>7973</v>
      </c>
      <c r="AV737" s="3" t="s">
        <v>7974</v>
      </c>
      <c r="AW737" s="3" t="s">
        <v>7975</v>
      </c>
      <c r="AX737" s="3" t="s">
        <v>7975</v>
      </c>
      <c r="AY737" s="3" t="s">
        <v>7976</v>
      </c>
      <c r="AZ737" s="3" t="s">
        <v>75</v>
      </c>
      <c r="BC737" s="3" t="s">
        <v>8021</v>
      </c>
      <c r="BD737" s="3" t="s">
        <v>8022</v>
      </c>
    </row>
    <row r="738" spans="1:56" ht="44.25" customHeight="1" x14ac:dyDescent="0.25">
      <c r="A738" s="7" t="s">
        <v>61</v>
      </c>
      <c r="B738" s="2" t="s">
        <v>8023</v>
      </c>
      <c r="C738" s="2" t="s">
        <v>8024</v>
      </c>
      <c r="D738" s="2" t="s">
        <v>8025</v>
      </c>
      <c r="F738" s="3" t="s">
        <v>61</v>
      </c>
      <c r="G738" s="3" t="s">
        <v>60</v>
      </c>
      <c r="H738" s="3" t="s">
        <v>61</v>
      </c>
      <c r="I738" s="3" t="s">
        <v>61</v>
      </c>
      <c r="J738" s="3" t="s">
        <v>62</v>
      </c>
      <c r="K738" s="2" t="s">
        <v>8026</v>
      </c>
      <c r="L738" s="2" t="s">
        <v>8027</v>
      </c>
      <c r="M738" s="3" t="s">
        <v>6086</v>
      </c>
      <c r="O738" s="3" t="s">
        <v>114</v>
      </c>
      <c r="P738" s="3" t="s">
        <v>67</v>
      </c>
      <c r="R738" s="3" t="s">
        <v>68</v>
      </c>
      <c r="S738" s="4">
        <v>2</v>
      </c>
      <c r="T738" s="4">
        <v>2</v>
      </c>
      <c r="U738" s="5" t="s">
        <v>757</v>
      </c>
      <c r="V738" s="5" t="s">
        <v>757</v>
      </c>
      <c r="W738" s="5" t="s">
        <v>7068</v>
      </c>
      <c r="X738" s="5" t="s">
        <v>7068</v>
      </c>
      <c r="Y738" s="4">
        <v>405</v>
      </c>
      <c r="Z738" s="4">
        <v>374</v>
      </c>
      <c r="AA738" s="4">
        <v>394</v>
      </c>
      <c r="AB738" s="4">
        <v>3</v>
      </c>
      <c r="AC738" s="4">
        <v>3</v>
      </c>
      <c r="AD738" s="4">
        <v>18</v>
      </c>
      <c r="AE738" s="4">
        <v>20</v>
      </c>
      <c r="AF738" s="4">
        <v>8</v>
      </c>
      <c r="AG738" s="4">
        <v>9</v>
      </c>
      <c r="AH738" s="4">
        <v>3</v>
      </c>
      <c r="AI738" s="4">
        <v>4</v>
      </c>
      <c r="AJ738" s="4">
        <v>10</v>
      </c>
      <c r="AK738" s="4">
        <v>10</v>
      </c>
      <c r="AL738" s="4">
        <v>1</v>
      </c>
      <c r="AM738" s="4">
        <v>1</v>
      </c>
      <c r="AN738" s="4">
        <v>0</v>
      </c>
      <c r="AO738" s="4">
        <v>0</v>
      </c>
      <c r="AP738" s="3" t="s">
        <v>59</v>
      </c>
      <c r="AQ738" s="3" t="s">
        <v>59</v>
      </c>
      <c r="AR738" s="6" t="str">
        <f>HYPERLINK("http://catalog.hathitrust.org/Record/000490694","HathiTrust Record")</f>
        <v>HathiTrust Record</v>
      </c>
      <c r="AS738" s="6" t="str">
        <f>HYPERLINK("https://creighton-primo.hosted.exlibrisgroup.com/primo-explore/search?tab=default_tab&amp;search_scope=EVERYTHING&amp;vid=01CRU&amp;lang=en_US&amp;offset=0&amp;query=any,contains,991003644499702656","Catalog Record")</f>
        <v>Catalog Record</v>
      </c>
      <c r="AT738" s="6" t="str">
        <f>HYPERLINK("http://www.worldcat.org/oclc/1243938","WorldCat Record")</f>
        <v>WorldCat Record</v>
      </c>
      <c r="AU738" s="3" t="s">
        <v>8028</v>
      </c>
      <c r="AV738" s="3" t="s">
        <v>8029</v>
      </c>
      <c r="AW738" s="3" t="s">
        <v>8030</v>
      </c>
      <c r="AX738" s="3" t="s">
        <v>8030</v>
      </c>
      <c r="AY738" s="3" t="s">
        <v>8031</v>
      </c>
      <c r="AZ738" s="3" t="s">
        <v>75</v>
      </c>
      <c r="BC738" s="3" t="s">
        <v>8032</v>
      </c>
      <c r="BD738" s="3" t="s">
        <v>8033</v>
      </c>
    </row>
    <row r="739" spans="1:56" ht="44.25" customHeight="1" x14ac:dyDescent="0.25">
      <c r="A739" s="7" t="s">
        <v>61</v>
      </c>
      <c r="B739" s="2" t="s">
        <v>8034</v>
      </c>
      <c r="C739" s="2" t="s">
        <v>8035</v>
      </c>
      <c r="D739" s="2" t="s">
        <v>8036</v>
      </c>
      <c r="F739" s="3" t="s">
        <v>61</v>
      </c>
      <c r="G739" s="3" t="s">
        <v>60</v>
      </c>
      <c r="H739" s="3" t="s">
        <v>61</v>
      </c>
      <c r="I739" s="3" t="s">
        <v>61</v>
      </c>
      <c r="J739" s="3" t="s">
        <v>62</v>
      </c>
      <c r="K739" s="2" t="s">
        <v>8037</v>
      </c>
      <c r="L739" s="2" t="s">
        <v>8038</v>
      </c>
      <c r="M739" s="3" t="s">
        <v>1465</v>
      </c>
      <c r="N739" s="2" t="s">
        <v>2877</v>
      </c>
      <c r="O739" s="3" t="s">
        <v>114</v>
      </c>
      <c r="P739" s="3" t="s">
        <v>1114</v>
      </c>
      <c r="R739" s="3" t="s">
        <v>68</v>
      </c>
      <c r="S739" s="4">
        <v>2</v>
      </c>
      <c r="T739" s="4">
        <v>2</v>
      </c>
      <c r="U739" s="5" t="s">
        <v>8039</v>
      </c>
      <c r="V739" s="5" t="s">
        <v>8039</v>
      </c>
      <c r="W739" s="5" t="s">
        <v>2046</v>
      </c>
      <c r="X739" s="5" t="s">
        <v>2046</v>
      </c>
      <c r="Y739" s="4">
        <v>139</v>
      </c>
      <c r="Z739" s="4">
        <v>109</v>
      </c>
      <c r="AA739" s="4">
        <v>239</v>
      </c>
      <c r="AB739" s="4">
        <v>2</v>
      </c>
      <c r="AC739" s="4">
        <v>5</v>
      </c>
      <c r="AD739" s="4">
        <v>3</v>
      </c>
      <c r="AE739" s="4">
        <v>11</v>
      </c>
      <c r="AF739" s="4">
        <v>1</v>
      </c>
      <c r="AG739" s="4">
        <v>4</v>
      </c>
      <c r="AH739" s="4">
        <v>0</v>
      </c>
      <c r="AI739" s="4">
        <v>1</v>
      </c>
      <c r="AJ739" s="4">
        <v>2</v>
      </c>
      <c r="AK739" s="4">
        <v>7</v>
      </c>
      <c r="AL739" s="4">
        <v>1</v>
      </c>
      <c r="AM739" s="4">
        <v>3</v>
      </c>
      <c r="AN739" s="4">
        <v>0</v>
      </c>
      <c r="AO739" s="4">
        <v>0</v>
      </c>
      <c r="AP739" s="3" t="s">
        <v>61</v>
      </c>
      <c r="AQ739" s="3" t="s">
        <v>59</v>
      </c>
      <c r="AR739" s="6" t="str">
        <f>HYPERLINK("http://catalog.hathitrust.org/Record/007108839","HathiTrust Record")</f>
        <v>HathiTrust Record</v>
      </c>
      <c r="AS739" s="6" t="str">
        <f>HYPERLINK("https://creighton-primo.hosted.exlibrisgroup.com/primo-explore/search?tab=default_tab&amp;search_scope=EVERYTHING&amp;vid=01CRU&amp;lang=en_US&amp;offset=0&amp;query=any,contains,991003583249702656","Catalog Record")</f>
        <v>Catalog Record</v>
      </c>
      <c r="AT739" s="6" t="str">
        <f>HYPERLINK("http://www.worldcat.org/oclc/21670914","WorldCat Record")</f>
        <v>WorldCat Record</v>
      </c>
      <c r="AU739" s="3" t="s">
        <v>8040</v>
      </c>
      <c r="AV739" s="3" t="s">
        <v>8041</v>
      </c>
      <c r="AW739" s="3" t="s">
        <v>8042</v>
      </c>
      <c r="AX739" s="3" t="s">
        <v>8042</v>
      </c>
      <c r="AY739" s="3" t="s">
        <v>8043</v>
      </c>
      <c r="AZ739" s="3" t="s">
        <v>75</v>
      </c>
      <c r="BB739" s="3" t="s">
        <v>8044</v>
      </c>
      <c r="BC739" s="3" t="s">
        <v>8045</v>
      </c>
      <c r="BD739" s="3" t="s">
        <v>8046</v>
      </c>
    </row>
    <row r="740" spans="1:56" ht="44.25" customHeight="1" x14ac:dyDescent="0.25">
      <c r="A740" s="7" t="s">
        <v>61</v>
      </c>
      <c r="B740" s="2" t="s">
        <v>8047</v>
      </c>
      <c r="C740" s="2" t="s">
        <v>8048</v>
      </c>
      <c r="D740" s="2" t="s">
        <v>8049</v>
      </c>
      <c r="F740" s="3" t="s">
        <v>61</v>
      </c>
      <c r="G740" s="3" t="s">
        <v>60</v>
      </c>
      <c r="H740" s="3" t="s">
        <v>61</v>
      </c>
      <c r="I740" s="3" t="s">
        <v>61</v>
      </c>
      <c r="J740" s="3" t="s">
        <v>62</v>
      </c>
      <c r="K740" s="2" t="s">
        <v>8050</v>
      </c>
      <c r="L740" s="2" t="s">
        <v>8051</v>
      </c>
      <c r="M740" s="3" t="s">
        <v>1319</v>
      </c>
      <c r="O740" s="3" t="s">
        <v>1715</v>
      </c>
      <c r="P740" s="3" t="s">
        <v>1716</v>
      </c>
      <c r="Q740" s="2" t="s">
        <v>8052</v>
      </c>
      <c r="R740" s="3" t="s">
        <v>68</v>
      </c>
      <c r="S740" s="4">
        <v>2</v>
      </c>
      <c r="T740" s="4">
        <v>2</v>
      </c>
      <c r="U740" s="5" t="s">
        <v>3617</v>
      </c>
      <c r="V740" s="5" t="s">
        <v>3617</v>
      </c>
      <c r="W740" s="5" t="s">
        <v>3617</v>
      </c>
      <c r="X740" s="5" t="s">
        <v>3617</v>
      </c>
      <c r="Y740" s="4">
        <v>131</v>
      </c>
      <c r="Z740" s="4">
        <v>59</v>
      </c>
      <c r="AA740" s="4">
        <v>60</v>
      </c>
      <c r="AB740" s="4">
        <v>1</v>
      </c>
      <c r="AC740" s="4">
        <v>1</v>
      </c>
      <c r="AD740" s="4">
        <v>0</v>
      </c>
      <c r="AE740" s="4">
        <v>0</v>
      </c>
      <c r="AF740" s="4">
        <v>0</v>
      </c>
      <c r="AG740" s="4">
        <v>0</v>
      </c>
      <c r="AH740" s="4">
        <v>0</v>
      </c>
      <c r="AI740" s="4">
        <v>0</v>
      </c>
      <c r="AJ740" s="4">
        <v>0</v>
      </c>
      <c r="AK740" s="4">
        <v>0</v>
      </c>
      <c r="AL740" s="4">
        <v>0</v>
      </c>
      <c r="AM740" s="4">
        <v>0</v>
      </c>
      <c r="AN740" s="4">
        <v>0</v>
      </c>
      <c r="AO740" s="4">
        <v>0</v>
      </c>
      <c r="AP740" s="3" t="s">
        <v>61</v>
      </c>
      <c r="AQ740" s="3" t="s">
        <v>59</v>
      </c>
      <c r="AR740" s="6" t="str">
        <f>HYPERLINK("http://catalog.hathitrust.org/Record/001177823","HathiTrust Record")</f>
        <v>HathiTrust Record</v>
      </c>
      <c r="AS740" s="6" t="str">
        <f>HYPERLINK("https://creighton-primo.hosted.exlibrisgroup.com/primo-explore/search?tab=default_tab&amp;search_scope=EVERYTHING&amp;vid=01CRU&amp;lang=en_US&amp;offset=0&amp;query=any,contains,991003603629702656","Catalog Record")</f>
        <v>Catalog Record</v>
      </c>
      <c r="AT740" s="6" t="str">
        <f>HYPERLINK("http://www.worldcat.org/oclc/2350121","WorldCat Record")</f>
        <v>WorldCat Record</v>
      </c>
      <c r="AU740" s="3" t="s">
        <v>8053</v>
      </c>
      <c r="AV740" s="3" t="s">
        <v>8054</v>
      </c>
      <c r="AW740" s="3" t="s">
        <v>8055</v>
      </c>
      <c r="AX740" s="3" t="s">
        <v>8055</v>
      </c>
      <c r="AY740" s="3" t="s">
        <v>8056</v>
      </c>
      <c r="AZ740" s="3" t="s">
        <v>75</v>
      </c>
      <c r="BC740" s="3" t="s">
        <v>8057</v>
      </c>
      <c r="BD740" s="3" t="s">
        <v>8058</v>
      </c>
    </row>
    <row r="741" spans="1:56" ht="44.25" customHeight="1" x14ac:dyDescent="0.25">
      <c r="A741" s="7" t="s">
        <v>61</v>
      </c>
      <c r="B741" s="2" t="s">
        <v>8059</v>
      </c>
      <c r="C741" s="2" t="s">
        <v>8060</v>
      </c>
      <c r="D741" s="2" t="s">
        <v>8061</v>
      </c>
      <c r="F741" s="3" t="s">
        <v>61</v>
      </c>
      <c r="G741" s="3" t="s">
        <v>60</v>
      </c>
      <c r="H741" s="3" t="s">
        <v>61</v>
      </c>
      <c r="I741" s="3" t="s">
        <v>61</v>
      </c>
      <c r="J741" s="3" t="s">
        <v>62</v>
      </c>
      <c r="K741" s="2" t="s">
        <v>8062</v>
      </c>
      <c r="L741" s="2" t="s">
        <v>8063</v>
      </c>
      <c r="M741" s="3" t="s">
        <v>422</v>
      </c>
      <c r="O741" s="3" t="s">
        <v>114</v>
      </c>
      <c r="P741" s="3" t="s">
        <v>235</v>
      </c>
      <c r="R741" s="3" t="s">
        <v>68</v>
      </c>
      <c r="S741" s="4">
        <v>4</v>
      </c>
      <c r="T741" s="4">
        <v>4</v>
      </c>
      <c r="U741" s="5" t="s">
        <v>8064</v>
      </c>
      <c r="V741" s="5" t="s">
        <v>8064</v>
      </c>
      <c r="W741" s="5" t="s">
        <v>8065</v>
      </c>
      <c r="X741" s="5" t="s">
        <v>8065</v>
      </c>
      <c r="Y741" s="4">
        <v>196</v>
      </c>
      <c r="Z741" s="4">
        <v>177</v>
      </c>
      <c r="AA741" s="4">
        <v>196</v>
      </c>
      <c r="AB741" s="4">
        <v>3</v>
      </c>
      <c r="AC741" s="4">
        <v>3</v>
      </c>
      <c r="AD741" s="4">
        <v>9</v>
      </c>
      <c r="AE741" s="4">
        <v>9</v>
      </c>
      <c r="AF741" s="4">
        <v>1</v>
      </c>
      <c r="AG741" s="4">
        <v>1</v>
      </c>
      <c r="AH741" s="4">
        <v>3</v>
      </c>
      <c r="AI741" s="4">
        <v>3</v>
      </c>
      <c r="AJ741" s="4">
        <v>6</v>
      </c>
      <c r="AK741" s="4">
        <v>6</v>
      </c>
      <c r="AL741" s="4">
        <v>2</v>
      </c>
      <c r="AM741" s="4">
        <v>2</v>
      </c>
      <c r="AN741" s="4">
        <v>0</v>
      </c>
      <c r="AO741" s="4">
        <v>0</v>
      </c>
      <c r="AP741" s="3" t="s">
        <v>61</v>
      </c>
      <c r="AQ741" s="3" t="s">
        <v>61</v>
      </c>
      <c r="AS741" s="6" t="str">
        <f>HYPERLINK("https://creighton-primo.hosted.exlibrisgroup.com/primo-explore/search?tab=default_tab&amp;search_scope=EVERYTHING&amp;vid=01CRU&amp;lang=en_US&amp;offset=0&amp;query=any,contains,991003248339702656","Catalog Record")</f>
        <v>Catalog Record</v>
      </c>
      <c r="AT741" s="6" t="str">
        <f>HYPERLINK("http://www.worldcat.org/oclc/36783797","WorldCat Record")</f>
        <v>WorldCat Record</v>
      </c>
      <c r="AU741" s="3" t="s">
        <v>8066</v>
      </c>
      <c r="AV741" s="3" t="s">
        <v>8067</v>
      </c>
      <c r="AW741" s="3" t="s">
        <v>8068</v>
      </c>
      <c r="AX741" s="3" t="s">
        <v>8068</v>
      </c>
      <c r="AY741" s="3" t="s">
        <v>8069</v>
      </c>
      <c r="AZ741" s="3" t="s">
        <v>75</v>
      </c>
      <c r="BB741" s="3" t="s">
        <v>8070</v>
      </c>
      <c r="BC741" s="3" t="s">
        <v>8071</v>
      </c>
      <c r="BD741" s="3" t="s">
        <v>8072</v>
      </c>
    </row>
    <row r="742" spans="1:56" ht="44.25" customHeight="1" x14ac:dyDescent="0.25">
      <c r="A742" s="7" t="s">
        <v>61</v>
      </c>
      <c r="B742" s="2" t="s">
        <v>8073</v>
      </c>
      <c r="C742" s="2" t="s">
        <v>8074</v>
      </c>
      <c r="D742" s="2" t="s">
        <v>8075</v>
      </c>
      <c r="F742" s="3" t="s">
        <v>61</v>
      </c>
      <c r="G742" s="3" t="s">
        <v>60</v>
      </c>
      <c r="H742" s="3" t="s">
        <v>61</v>
      </c>
      <c r="I742" s="3" t="s">
        <v>61</v>
      </c>
      <c r="J742" s="3" t="s">
        <v>62</v>
      </c>
      <c r="K742" s="2" t="s">
        <v>8076</v>
      </c>
      <c r="L742" s="2" t="s">
        <v>8077</v>
      </c>
      <c r="M742" s="3" t="s">
        <v>1870</v>
      </c>
      <c r="N742" s="2" t="s">
        <v>4614</v>
      </c>
      <c r="O742" s="3" t="s">
        <v>114</v>
      </c>
      <c r="P742" s="3" t="s">
        <v>235</v>
      </c>
      <c r="R742" s="3" t="s">
        <v>68</v>
      </c>
      <c r="S742" s="4">
        <v>1</v>
      </c>
      <c r="T742" s="4">
        <v>1</v>
      </c>
      <c r="U742" s="5" t="s">
        <v>8078</v>
      </c>
      <c r="V742" s="5" t="s">
        <v>8078</v>
      </c>
      <c r="W742" s="5" t="s">
        <v>8079</v>
      </c>
      <c r="X742" s="5" t="s">
        <v>8079</v>
      </c>
      <c r="Y742" s="4">
        <v>412</v>
      </c>
      <c r="Z742" s="4">
        <v>382</v>
      </c>
      <c r="AA742" s="4">
        <v>390</v>
      </c>
      <c r="AB742" s="4">
        <v>2</v>
      </c>
      <c r="AC742" s="4">
        <v>2</v>
      </c>
      <c r="AD742" s="4">
        <v>16</v>
      </c>
      <c r="AE742" s="4">
        <v>16</v>
      </c>
      <c r="AF742" s="4">
        <v>4</v>
      </c>
      <c r="AG742" s="4">
        <v>4</v>
      </c>
      <c r="AH742" s="4">
        <v>5</v>
      </c>
      <c r="AI742" s="4">
        <v>5</v>
      </c>
      <c r="AJ742" s="4">
        <v>11</v>
      </c>
      <c r="AK742" s="4">
        <v>11</v>
      </c>
      <c r="AL742" s="4">
        <v>1</v>
      </c>
      <c r="AM742" s="4">
        <v>1</v>
      </c>
      <c r="AN742" s="4">
        <v>0</v>
      </c>
      <c r="AO742" s="4">
        <v>0</v>
      </c>
      <c r="AP742" s="3" t="s">
        <v>61</v>
      </c>
      <c r="AQ742" s="3" t="s">
        <v>59</v>
      </c>
      <c r="AR742" s="6" t="str">
        <f>HYPERLINK("http://catalog.hathitrust.org/Record/007555871","HathiTrust Record")</f>
        <v>HathiTrust Record</v>
      </c>
      <c r="AS742" s="6" t="str">
        <f>HYPERLINK("https://creighton-primo.hosted.exlibrisgroup.com/primo-explore/search?tab=default_tab&amp;search_scope=EVERYTHING&amp;vid=01CRU&amp;lang=en_US&amp;offset=0&amp;query=any,contains,991002332809702656","Catalog Record")</f>
        <v>Catalog Record</v>
      </c>
      <c r="AT742" s="6" t="str">
        <f>HYPERLINK("http://www.worldcat.org/oclc/30357464","WorldCat Record")</f>
        <v>WorldCat Record</v>
      </c>
      <c r="AU742" s="3" t="s">
        <v>8080</v>
      </c>
      <c r="AV742" s="3" t="s">
        <v>8081</v>
      </c>
      <c r="AW742" s="3" t="s">
        <v>8082</v>
      </c>
      <c r="AX742" s="3" t="s">
        <v>8082</v>
      </c>
      <c r="AY742" s="3" t="s">
        <v>8083</v>
      </c>
      <c r="AZ742" s="3" t="s">
        <v>75</v>
      </c>
      <c r="BB742" s="3" t="s">
        <v>8084</v>
      </c>
      <c r="BC742" s="3" t="s">
        <v>8085</v>
      </c>
      <c r="BD742" s="3" t="s">
        <v>8086</v>
      </c>
    </row>
    <row r="743" spans="1:56" ht="44.25" customHeight="1" x14ac:dyDescent="0.25">
      <c r="A743" s="7" t="s">
        <v>61</v>
      </c>
      <c r="B743" s="2" t="s">
        <v>8087</v>
      </c>
      <c r="C743" s="2" t="s">
        <v>8088</v>
      </c>
      <c r="D743" s="2" t="s">
        <v>8089</v>
      </c>
      <c r="F743" s="3" t="s">
        <v>61</v>
      </c>
      <c r="G743" s="3" t="s">
        <v>60</v>
      </c>
      <c r="H743" s="3" t="s">
        <v>61</v>
      </c>
      <c r="I743" s="3" t="s">
        <v>61</v>
      </c>
      <c r="J743" s="3" t="s">
        <v>62</v>
      </c>
      <c r="K743" s="2" t="s">
        <v>7777</v>
      </c>
      <c r="L743" s="2" t="s">
        <v>8090</v>
      </c>
      <c r="M743" s="3" t="s">
        <v>495</v>
      </c>
      <c r="N743" s="2" t="s">
        <v>679</v>
      </c>
      <c r="O743" s="3" t="s">
        <v>114</v>
      </c>
      <c r="P743" s="3" t="s">
        <v>235</v>
      </c>
      <c r="R743" s="3" t="s">
        <v>68</v>
      </c>
      <c r="S743" s="4">
        <v>11</v>
      </c>
      <c r="T743" s="4">
        <v>11</v>
      </c>
      <c r="U743" s="5" t="s">
        <v>8091</v>
      </c>
      <c r="V743" s="5" t="s">
        <v>8091</v>
      </c>
      <c r="W743" s="5" t="s">
        <v>8092</v>
      </c>
      <c r="X743" s="5" t="s">
        <v>8092</v>
      </c>
      <c r="Y743" s="4">
        <v>1485</v>
      </c>
      <c r="Z743" s="4">
        <v>1409</v>
      </c>
      <c r="AA743" s="4">
        <v>1744</v>
      </c>
      <c r="AB743" s="4">
        <v>11</v>
      </c>
      <c r="AC743" s="4">
        <v>11</v>
      </c>
      <c r="AD743" s="4">
        <v>37</v>
      </c>
      <c r="AE743" s="4">
        <v>42</v>
      </c>
      <c r="AF743" s="4">
        <v>21</v>
      </c>
      <c r="AG743" s="4">
        <v>23</v>
      </c>
      <c r="AH743" s="4">
        <v>6</v>
      </c>
      <c r="AI743" s="4">
        <v>8</v>
      </c>
      <c r="AJ743" s="4">
        <v>13</v>
      </c>
      <c r="AK743" s="4">
        <v>17</v>
      </c>
      <c r="AL743" s="4">
        <v>5</v>
      </c>
      <c r="AM743" s="4">
        <v>5</v>
      </c>
      <c r="AN743" s="4">
        <v>0</v>
      </c>
      <c r="AO743" s="4">
        <v>0</v>
      </c>
      <c r="AP743" s="3" t="s">
        <v>61</v>
      </c>
      <c r="AQ743" s="3" t="s">
        <v>61</v>
      </c>
      <c r="AS743" s="6" t="str">
        <f>HYPERLINK("https://creighton-primo.hosted.exlibrisgroup.com/primo-explore/search?tab=default_tab&amp;search_scope=EVERYTHING&amp;vid=01CRU&amp;lang=en_US&amp;offset=0&amp;query=any,contains,991002591299702656","Catalog Record")</f>
        <v>Catalog Record</v>
      </c>
      <c r="AT743" s="6" t="str">
        <f>HYPERLINK("http://www.worldcat.org/oclc/33948454","WorldCat Record")</f>
        <v>WorldCat Record</v>
      </c>
      <c r="AU743" s="3" t="s">
        <v>8093</v>
      </c>
      <c r="AV743" s="3" t="s">
        <v>8094</v>
      </c>
      <c r="AW743" s="3" t="s">
        <v>8095</v>
      </c>
      <c r="AX743" s="3" t="s">
        <v>8095</v>
      </c>
      <c r="AY743" s="3" t="s">
        <v>8096</v>
      </c>
      <c r="AZ743" s="3" t="s">
        <v>75</v>
      </c>
      <c r="BB743" s="3" t="s">
        <v>8097</v>
      </c>
      <c r="BC743" s="3" t="s">
        <v>8098</v>
      </c>
      <c r="BD743" s="3" t="s">
        <v>8099</v>
      </c>
    </row>
    <row r="744" spans="1:56" ht="44.25" customHeight="1" x14ac:dyDescent="0.25">
      <c r="A744" s="7" t="s">
        <v>61</v>
      </c>
      <c r="B744" s="2" t="s">
        <v>8100</v>
      </c>
      <c r="C744" s="2" t="s">
        <v>8101</v>
      </c>
      <c r="D744" s="2" t="s">
        <v>8102</v>
      </c>
      <c r="F744" s="3" t="s">
        <v>61</v>
      </c>
      <c r="G744" s="3" t="s">
        <v>60</v>
      </c>
      <c r="H744" s="3" t="s">
        <v>61</v>
      </c>
      <c r="I744" s="3" t="s">
        <v>61</v>
      </c>
      <c r="J744" s="3" t="s">
        <v>62</v>
      </c>
      <c r="K744" s="2" t="s">
        <v>8103</v>
      </c>
      <c r="L744" s="2" t="s">
        <v>8104</v>
      </c>
      <c r="M744" s="3" t="s">
        <v>436</v>
      </c>
      <c r="O744" s="3" t="s">
        <v>114</v>
      </c>
      <c r="P744" s="3" t="s">
        <v>192</v>
      </c>
      <c r="R744" s="3" t="s">
        <v>68</v>
      </c>
      <c r="S744" s="4">
        <v>8</v>
      </c>
      <c r="T744" s="4">
        <v>8</v>
      </c>
      <c r="U744" s="5" t="s">
        <v>8105</v>
      </c>
      <c r="V744" s="5" t="s">
        <v>8105</v>
      </c>
      <c r="W744" s="5" t="s">
        <v>8106</v>
      </c>
      <c r="X744" s="5" t="s">
        <v>8106</v>
      </c>
      <c r="Y744" s="4">
        <v>196</v>
      </c>
      <c r="Z744" s="4">
        <v>119</v>
      </c>
      <c r="AA744" s="4">
        <v>881</v>
      </c>
      <c r="AB744" s="4">
        <v>2</v>
      </c>
      <c r="AC744" s="4">
        <v>8</v>
      </c>
      <c r="AD744" s="4">
        <v>6</v>
      </c>
      <c r="AE744" s="4">
        <v>34</v>
      </c>
      <c r="AF744" s="4">
        <v>3</v>
      </c>
      <c r="AG744" s="4">
        <v>14</v>
      </c>
      <c r="AH744" s="4">
        <v>1</v>
      </c>
      <c r="AI744" s="4">
        <v>7</v>
      </c>
      <c r="AJ744" s="4">
        <v>2</v>
      </c>
      <c r="AK744" s="4">
        <v>17</v>
      </c>
      <c r="AL744" s="4">
        <v>1</v>
      </c>
      <c r="AM744" s="4">
        <v>5</v>
      </c>
      <c r="AN744" s="4">
        <v>0</v>
      </c>
      <c r="AO744" s="4">
        <v>0</v>
      </c>
      <c r="AP744" s="3" t="s">
        <v>61</v>
      </c>
      <c r="AQ744" s="3" t="s">
        <v>59</v>
      </c>
      <c r="AR744" s="6" t="str">
        <f>HYPERLINK("http://catalog.hathitrust.org/Record/002205189","HathiTrust Record")</f>
        <v>HathiTrust Record</v>
      </c>
      <c r="AS744" s="6" t="str">
        <f>HYPERLINK("https://creighton-primo.hosted.exlibrisgroup.com/primo-explore/search?tab=default_tab&amp;search_scope=EVERYTHING&amp;vid=01CRU&amp;lang=en_US&amp;offset=0&amp;query=any,contains,991001616559702656","Catalog Record")</f>
        <v>Catalog Record</v>
      </c>
      <c r="AT744" s="6" t="str">
        <f>HYPERLINK("http://www.worldcat.org/oclc/20796722","WorldCat Record")</f>
        <v>WorldCat Record</v>
      </c>
      <c r="AU744" s="3" t="s">
        <v>8107</v>
      </c>
      <c r="AV744" s="3" t="s">
        <v>8108</v>
      </c>
      <c r="AW744" s="3" t="s">
        <v>8109</v>
      </c>
      <c r="AX744" s="3" t="s">
        <v>8109</v>
      </c>
      <c r="AY744" s="3" t="s">
        <v>8110</v>
      </c>
      <c r="AZ744" s="3" t="s">
        <v>75</v>
      </c>
      <c r="BB744" s="3" t="s">
        <v>8111</v>
      </c>
      <c r="BC744" s="3" t="s">
        <v>8112</v>
      </c>
      <c r="BD744" s="3" t="s">
        <v>8113</v>
      </c>
    </row>
    <row r="745" spans="1:56" ht="44.25" customHeight="1" x14ac:dyDescent="0.25">
      <c r="A745" s="7" t="s">
        <v>61</v>
      </c>
      <c r="B745" s="2" t="s">
        <v>8114</v>
      </c>
      <c r="C745" s="2" t="s">
        <v>8115</v>
      </c>
      <c r="D745" s="2" t="s">
        <v>8116</v>
      </c>
      <c r="F745" s="3" t="s">
        <v>61</v>
      </c>
      <c r="G745" s="3" t="s">
        <v>60</v>
      </c>
      <c r="H745" s="3" t="s">
        <v>61</v>
      </c>
      <c r="I745" s="3" t="s">
        <v>61</v>
      </c>
      <c r="J745" s="3" t="s">
        <v>62</v>
      </c>
      <c r="K745" s="2" t="s">
        <v>8117</v>
      </c>
      <c r="L745" s="2" t="s">
        <v>8118</v>
      </c>
      <c r="M745" s="3" t="s">
        <v>451</v>
      </c>
      <c r="O745" s="3" t="s">
        <v>114</v>
      </c>
      <c r="P745" s="3" t="s">
        <v>235</v>
      </c>
      <c r="R745" s="3" t="s">
        <v>68</v>
      </c>
      <c r="S745" s="4">
        <v>9</v>
      </c>
      <c r="T745" s="4">
        <v>9</v>
      </c>
      <c r="U745" s="5" t="s">
        <v>7778</v>
      </c>
      <c r="V745" s="5" t="s">
        <v>7778</v>
      </c>
      <c r="W745" s="5" t="s">
        <v>8119</v>
      </c>
      <c r="X745" s="5" t="s">
        <v>8119</v>
      </c>
      <c r="Y745" s="4">
        <v>197</v>
      </c>
      <c r="Z745" s="4">
        <v>152</v>
      </c>
      <c r="AA745" s="4">
        <v>152</v>
      </c>
      <c r="AB745" s="4">
        <v>1</v>
      </c>
      <c r="AC745" s="4">
        <v>1</v>
      </c>
      <c r="AD745" s="4">
        <v>2</v>
      </c>
      <c r="AE745" s="4">
        <v>2</v>
      </c>
      <c r="AF745" s="4">
        <v>0</v>
      </c>
      <c r="AG745" s="4">
        <v>0</v>
      </c>
      <c r="AH745" s="4">
        <v>1</v>
      </c>
      <c r="AI745" s="4">
        <v>1</v>
      </c>
      <c r="AJ745" s="4">
        <v>2</v>
      </c>
      <c r="AK745" s="4">
        <v>2</v>
      </c>
      <c r="AL745" s="4">
        <v>0</v>
      </c>
      <c r="AM745" s="4">
        <v>0</v>
      </c>
      <c r="AN745" s="4">
        <v>0</v>
      </c>
      <c r="AO745" s="4">
        <v>0</v>
      </c>
      <c r="AP745" s="3" t="s">
        <v>61</v>
      </c>
      <c r="AQ745" s="3" t="s">
        <v>61</v>
      </c>
      <c r="AS745" s="6" t="str">
        <f>HYPERLINK("https://creighton-primo.hosted.exlibrisgroup.com/primo-explore/search?tab=default_tab&amp;search_scope=EVERYTHING&amp;vid=01CRU&amp;lang=en_US&amp;offset=0&amp;query=any,contains,991002989469702656","Catalog Record")</f>
        <v>Catalog Record</v>
      </c>
      <c r="AT745" s="6" t="str">
        <f>HYPERLINK("http://www.worldcat.org/oclc/40340014","WorldCat Record")</f>
        <v>WorldCat Record</v>
      </c>
      <c r="AU745" s="3" t="s">
        <v>8120</v>
      </c>
      <c r="AV745" s="3" t="s">
        <v>8121</v>
      </c>
      <c r="AW745" s="3" t="s">
        <v>8122</v>
      </c>
      <c r="AX745" s="3" t="s">
        <v>8122</v>
      </c>
      <c r="AY745" s="3" t="s">
        <v>8123</v>
      </c>
      <c r="AZ745" s="3" t="s">
        <v>75</v>
      </c>
      <c r="BB745" s="3" t="s">
        <v>8124</v>
      </c>
      <c r="BC745" s="3" t="s">
        <v>8125</v>
      </c>
      <c r="BD745" s="3" t="s">
        <v>8126</v>
      </c>
    </row>
    <row r="746" spans="1:56" ht="44.25" customHeight="1" x14ac:dyDescent="0.25">
      <c r="A746" s="7" t="s">
        <v>61</v>
      </c>
      <c r="B746" s="2" t="s">
        <v>8127</v>
      </c>
      <c r="C746" s="2" t="s">
        <v>8128</v>
      </c>
      <c r="D746" s="2" t="s">
        <v>8129</v>
      </c>
      <c r="F746" s="3" t="s">
        <v>61</v>
      </c>
      <c r="G746" s="3" t="s">
        <v>60</v>
      </c>
      <c r="H746" s="3" t="s">
        <v>61</v>
      </c>
      <c r="I746" s="3" t="s">
        <v>61</v>
      </c>
      <c r="J746" s="3" t="s">
        <v>62</v>
      </c>
      <c r="K746" s="2" t="s">
        <v>8130</v>
      </c>
      <c r="L746" s="2" t="s">
        <v>8131</v>
      </c>
      <c r="M746" s="3" t="s">
        <v>579</v>
      </c>
      <c r="N746" s="2" t="s">
        <v>634</v>
      </c>
      <c r="O746" s="3" t="s">
        <v>114</v>
      </c>
      <c r="P746" s="3" t="s">
        <v>235</v>
      </c>
      <c r="R746" s="3" t="s">
        <v>68</v>
      </c>
      <c r="S746" s="4">
        <v>4</v>
      </c>
      <c r="T746" s="4">
        <v>4</v>
      </c>
      <c r="U746" s="5" t="s">
        <v>8132</v>
      </c>
      <c r="V746" s="5" t="s">
        <v>8132</v>
      </c>
      <c r="W746" s="5" t="s">
        <v>7754</v>
      </c>
      <c r="X746" s="5" t="s">
        <v>7754</v>
      </c>
      <c r="Y746" s="4">
        <v>1934</v>
      </c>
      <c r="Z746" s="4">
        <v>1896</v>
      </c>
      <c r="AA746" s="4">
        <v>2073</v>
      </c>
      <c r="AB746" s="4">
        <v>15</v>
      </c>
      <c r="AC746" s="4">
        <v>18</v>
      </c>
      <c r="AD746" s="4">
        <v>30</v>
      </c>
      <c r="AE746" s="4">
        <v>31</v>
      </c>
      <c r="AF746" s="4">
        <v>13</v>
      </c>
      <c r="AG746" s="4">
        <v>13</v>
      </c>
      <c r="AH746" s="4">
        <v>5</v>
      </c>
      <c r="AI746" s="4">
        <v>5</v>
      </c>
      <c r="AJ746" s="4">
        <v>15</v>
      </c>
      <c r="AK746" s="4">
        <v>15</v>
      </c>
      <c r="AL746" s="4">
        <v>5</v>
      </c>
      <c r="AM746" s="4">
        <v>6</v>
      </c>
      <c r="AN746" s="4">
        <v>0</v>
      </c>
      <c r="AO746" s="4">
        <v>0</v>
      </c>
      <c r="AP746" s="3" t="s">
        <v>61</v>
      </c>
      <c r="AQ746" s="3" t="s">
        <v>61</v>
      </c>
      <c r="AS746" s="6" t="str">
        <f>HYPERLINK("https://creighton-primo.hosted.exlibrisgroup.com/primo-explore/search?tab=default_tab&amp;search_scope=EVERYTHING&amp;vid=01CRU&amp;lang=en_US&amp;offset=0&amp;query=any,contains,991000683569702656","Catalog Record")</f>
        <v>Catalog Record</v>
      </c>
      <c r="AT746" s="6" t="str">
        <f>HYPERLINK("http://www.worldcat.org/oclc/12419170","WorldCat Record")</f>
        <v>WorldCat Record</v>
      </c>
      <c r="AU746" s="3" t="s">
        <v>8133</v>
      </c>
      <c r="AV746" s="3" t="s">
        <v>8134</v>
      </c>
      <c r="AW746" s="3" t="s">
        <v>8135</v>
      </c>
      <c r="AX746" s="3" t="s">
        <v>8135</v>
      </c>
      <c r="AY746" s="3" t="s">
        <v>8136</v>
      </c>
      <c r="AZ746" s="3" t="s">
        <v>75</v>
      </c>
      <c r="BB746" s="3" t="s">
        <v>8137</v>
      </c>
      <c r="BC746" s="3" t="s">
        <v>8138</v>
      </c>
      <c r="BD746" s="3" t="s">
        <v>8139</v>
      </c>
    </row>
    <row r="747" spans="1:56" ht="44.25" customHeight="1" x14ac:dyDescent="0.25">
      <c r="A747" s="7" t="s">
        <v>61</v>
      </c>
      <c r="B747" s="2" t="s">
        <v>8140</v>
      </c>
      <c r="C747" s="2" t="s">
        <v>8141</v>
      </c>
      <c r="D747" s="2" t="s">
        <v>8142</v>
      </c>
      <c r="F747" s="3" t="s">
        <v>61</v>
      </c>
      <c r="G747" s="3" t="s">
        <v>60</v>
      </c>
      <c r="H747" s="3" t="s">
        <v>61</v>
      </c>
      <c r="I747" s="3" t="s">
        <v>61</v>
      </c>
      <c r="J747" s="3" t="s">
        <v>62</v>
      </c>
      <c r="L747" s="2" t="s">
        <v>8143</v>
      </c>
      <c r="M747" s="3" t="s">
        <v>234</v>
      </c>
      <c r="O747" s="3" t="s">
        <v>114</v>
      </c>
      <c r="P747" s="3" t="s">
        <v>235</v>
      </c>
      <c r="R747" s="3" t="s">
        <v>68</v>
      </c>
      <c r="S747" s="4">
        <v>3</v>
      </c>
      <c r="T747" s="4">
        <v>3</v>
      </c>
      <c r="U747" s="5" t="s">
        <v>8144</v>
      </c>
      <c r="V747" s="5" t="s">
        <v>8144</v>
      </c>
      <c r="W747" s="5" t="s">
        <v>7754</v>
      </c>
      <c r="X747" s="5" t="s">
        <v>7754</v>
      </c>
      <c r="Y747" s="4">
        <v>752</v>
      </c>
      <c r="Z747" s="4">
        <v>712</v>
      </c>
      <c r="AA747" s="4">
        <v>1154</v>
      </c>
      <c r="AB747" s="4">
        <v>4</v>
      </c>
      <c r="AC747" s="4">
        <v>6</v>
      </c>
      <c r="AD747" s="4">
        <v>11</v>
      </c>
      <c r="AE747" s="4">
        <v>29</v>
      </c>
      <c r="AF747" s="4">
        <v>8</v>
      </c>
      <c r="AG747" s="4">
        <v>13</v>
      </c>
      <c r="AH747" s="4">
        <v>2</v>
      </c>
      <c r="AI747" s="4">
        <v>7</v>
      </c>
      <c r="AJ747" s="4">
        <v>3</v>
      </c>
      <c r="AK747" s="4">
        <v>12</v>
      </c>
      <c r="AL747" s="4">
        <v>1</v>
      </c>
      <c r="AM747" s="4">
        <v>3</v>
      </c>
      <c r="AN747" s="4">
        <v>0</v>
      </c>
      <c r="AO747" s="4">
        <v>0</v>
      </c>
      <c r="AP747" s="3" t="s">
        <v>61</v>
      </c>
      <c r="AQ747" s="3" t="s">
        <v>59</v>
      </c>
      <c r="AR747" s="6" t="str">
        <f>HYPERLINK("http://catalog.hathitrust.org/Record/006026544","HathiTrust Record")</f>
        <v>HathiTrust Record</v>
      </c>
      <c r="AS747" s="6" t="str">
        <f>HYPERLINK("https://creighton-primo.hosted.exlibrisgroup.com/primo-explore/search?tab=default_tab&amp;search_scope=EVERYTHING&amp;vid=01CRU&amp;lang=en_US&amp;offset=0&amp;query=any,contains,991000131569702656","Catalog Record")</f>
        <v>Catalog Record</v>
      </c>
      <c r="AT747" s="6" t="str">
        <f>HYPERLINK("http://www.worldcat.org/oclc/9111615","WorldCat Record")</f>
        <v>WorldCat Record</v>
      </c>
      <c r="AU747" s="3" t="s">
        <v>8145</v>
      </c>
      <c r="AV747" s="3" t="s">
        <v>8146</v>
      </c>
      <c r="AW747" s="3" t="s">
        <v>8147</v>
      </c>
      <c r="AX747" s="3" t="s">
        <v>8147</v>
      </c>
      <c r="AY747" s="3" t="s">
        <v>8148</v>
      </c>
      <c r="AZ747" s="3" t="s">
        <v>75</v>
      </c>
      <c r="BB747" s="3" t="s">
        <v>8149</v>
      </c>
      <c r="BC747" s="3" t="s">
        <v>8150</v>
      </c>
      <c r="BD747" s="3" t="s">
        <v>8151</v>
      </c>
    </row>
    <row r="748" spans="1:56" ht="44.25" customHeight="1" x14ac:dyDescent="0.25">
      <c r="A748" s="7" t="s">
        <v>61</v>
      </c>
      <c r="B748" s="2" t="s">
        <v>8152</v>
      </c>
      <c r="C748" s="2" t="s">
        <v>8153</v>
      </c>
      <c r="D748" s="2" t="s">
        <v>8154</v>
      </c>
      <c r="F748" s="3" t="s">
        <v>61</v>
      </c>
      <c r="G748" s="3" t="s">
        <v>60</v>
      </c>
      <c r="H748" s="3" t="s">
        <v>61</v>
      </c>
      <c r="I748" s="3" t="s">
        <v>61</v>
      </c>
      <c r="J748" s="3" t="s">
        <v>62</v>
      </c>
      <c r="L748" s="2" t="s">
        <v>8155</v>
      </c>
      <c r="M748" s="3" t="s">
        <v>263</v>
      </c>
      <c r="O748" s="3" t="s">
        <v>114</v>
      </c>
      <c r="P748" s="3" t="s">
        <v>192</v>
      </c>
      <c r="Q748" s="2" t="s">
        <v>8156</v>
      </c>
      <c r="R748" s="3" t="s">
        <v>68</v>
      </c>
      <c r="S748" s="4">
        <v>6</v>
      </c>
      <c r="T748" s="4">
        <v>6</v>
      </c>
      <c r="U748" s="5" t="s">
        <v>8157</v>
      </c>
      <c r="V748" s="5" t="s">
        <v>8157</v>
      </c>
      <c r="W748" s="5" t="s">
        <v>8158</v>
      </c>
      <c r="X748" s="5" t="s">
        <v>8158</v>
      </c>
      <c r="Y748" s="4">
        <v>253</v>
      </c>
      <c r="Z748" s="4">
        <v>155</v>
      </c>
      <c r="AA748" s="4">
        <v>157</v>
      </c>
      <c r="AB748" s="4">
        <v>2</v>
      </c>
      <c r="AC748" s="4">
        <v>2</v>
      </c>
      <c r="AD748" s="4">
        <v>4</v>
      </c>
      <c r="AE748" s="4">
        <v>4</v>
      </c>
      <c r="AF748" s="4">
        <v>0</v>
      </c>
      <c r="AG748" s="4">
        <v>0</v>
      </c>
      <c r="AH748" s="4">
        <v>2</v>
      </c>
      <c r="AI748" s="4">
        <v>2</v>
      </c>
      <c r="AJ748" s="4">
        <v>3</v>
      </c>
      <c r="AK748" s="4">
        <v>3</v>
      </c>
      <c r="AL748" s="4">
        <v>1</v>
      </c>
      <c r="AM748" s="4">
        <v>1</v>
      </c>
      <c r="AN748" s="4">
        <v>0</v>
      </c>
      <c r="AO748" s="4">
        <v>0</v>
      </c>
      <c r="AP748" s="3" t="s">
        <v>61</v>
      </c>
      <c r="AQ748" s="3" t="s">
        <v>61</v>
      </c>
      <c r="AS748" s="6" t="str">
        <f>HYPERLINK("https://creighton-primo.hosted.exlibrisgroup.com/primo-explore/search?tab=default_tab&amp;search_scope=EVERYTHING&amp;vid=01CRU&amp;lang=en_US&amp;offset=0&amp;query=any,contains,991000032559702656","Catalog Record")</f>
        <v>Catalog Record</v>
      </c>
      <c r="AT748" s="6" t="str">
        <f>HYPERLINK("http://www.worldcat.org/oclc/8620939","WorldCat Record")</f>
        <v>WorldCat Record</v>
      </c>
      <c r="AU748" s="3" t="s">
        <v>8159</v>
      </c>
      <c r="AV748" s="3" t="s">
        <v>8160</v>
      </c>
      <c r="AW748" s="3" t="s">
        <v>8161</v>
      </c>
      <c r="AX748" s="3" t="s">
        <v>8161</v>
      </c>
      <c r="AY748" s="3" t="s">
        <v>8162</v>
      </c>
      <c r="AZ748" s="3" t="s">
        <v>75</v>
      </c>
      <c r="BB748" s="3" t="s">
        <v>8163</v>
      </c>
      <c r="BC748" s="3" t="s">
        <v>8164</v>
      </c>
      <c r="BD748" s="3" t="s">
        <v>8165</v>
      </c>
    </row>
    <row r="749" spans="1:56" ht="44.25" customHeight="1" x14ac:dyDescent="0.25">
      <c r="A749" s="7" t="s">
        <v>61</v>
      </c>
      <c r="B749" s="2" t="s">
        <v>8166</v>
      </c>
      <c r="C749" s="2" t="s">
        <v>8167</v>
      </c>
      <c r="D749" s="2" t="s">
        <v>8168</v>
      </c>
      <c r="F749" s="3" t="s">
        <v>61</v>
      </c>
      <c r="G749" s="3" t="s">
        <v>60</v>
      </c>
      <c r="H749" s="3" t="s">
        <v>61</v>
      </c>
      <c r="I749" s="3" t="s">
        <v>61</v>
      </c>
      <c r="J749" s="3" t="s">
        <v>62</v>
      </c>
      <c r="K749" s="2" t="s">
        <v>8169</v>
      </c>
      <c r="L749" s="2" t="s">
        <v>8170</v>
      </c>
      <c r="M749" s="3" t="s">
        <v>1976</v>
      </c>
      <c r="O749" s="3" t="s">
        <v>114</v>
      </c>
      <c r="P749" s="3" t="s">
        <v>6440</v>
      </c>
      <c r="R749" s="3" t="s">
        <v>68</v>
      </c>
      <c r="S749" s="4">
        <v>1</v>
      </c>
      <c r="T749" s="4">
        <v>1</v>
      </c>
      <c r="U749" s="5" t="s">
        <v>8171</v>
      </c>
      <c r="V749" s="5" t="s">
        <v>8171</v>
      </c>
      <c r="W749" s="5" t="s">
        <v>8172</v>
      </c>
      <c r="X749" s="5" t="s">
        <v>8172</v>
      </c>
      <c r="Y749" s="4">
        <v>233</v>
      </c>
      <c r="Z749" s="4">
        <v>216</v>
      </c>
      <c r="AA749" s="4">
        <v>222</v>
      </c>
      <c r="AB749" s="4">
        <v>2</v>
      </c>
      <c r="AC749" s="4">
        <v>2</v>
      </c>
      <c r="AD749" s="4">
        <v>8</v>
      </c>
      <c r="AE749" s="4">
        <v>8</v>
      </c>
      <c r="AF749" s="4">
        <v>6</v>
      </c>
      <c r="AG749" s="4">
        <v>6</v>
      </c>
      <c r="AH749" s="4">
        <v>1</v>
      </c>
      <c r="AI749" s="4">
        <v>1</v>
      </c>
      <c r="AJ749" s="4">
        <v>5</v>
      </c>
      <c r="AK749" s="4">
        <v>5</v>
      </c>
      <c r="AL749" s="4">
        <v>0</v>
      </c>
      <c r="AM749" s="4">
        <v>0</v>
      </c>
      <c r="AN749" s="4">
        <v>0</v>
      </c>
      <c r="AO749" s="4">
        <v>0</v>
      </c>
      <c r="AP749" s="3" t="s">
        <v>61</v>
      </c>
      <c r="AQ749" s="3" t="s">
        <v>59</v>
      </c>
      <c r="AR749" s="6" t="str">
        <f>HYPERLINK("http://catalog.hathitrust.org/Record/004305944","HathiTrust Record")</f>
        <v>HathiTrust Record</v>
      </c>
      <c r="AS749" s="6" t="str">
        <f>HYPERLINK("https://creighton-primo.hosted.exlibrisgroup.com/primo-explore/search?tab=default_tab&amp;search_scope=EVERYTHING&amp;vid=01CRU&amp;lang=en_US&amp;offset=0&amp;query=any,contains,991003974089702656","Catalog Record")</f>
        <v>Catalog Record</v>
      </c>
      <c r="AT749" s="6" t="str">
        <f>HYPERLINK("http://www.worldcat.org/oclc/50205685","WorldCat Record")</f>
        <v>WorldCat Record</v>
      </c>
      <c r="AU749" s="3" t="s">
        <v>8173</v>
      </c>
      <c r="AV749" s="3" t="s">
        <v>8174</v>
      </c>
      <c r="AW749" s="3" t="s">
        <v>8175</v>
      </c>
      <c r="AX749" s="3" t="s">
        <v>8175</v>
      </c>
      <c r="AY749" s="3" t="s">
        <v>8176</v>
      </c>
      <c r="AZ749" s="3" t="s">
        <v>75</v>
      </c>
      <c r="BB749" s="3" t="s">
        <v>8177</v>
      </c>
      <c r="BC749" s="3" t="s">
        <v>8178</v>
      </c>
      <c r="BD749" s="3" t="s">
        <v>8179</v>
      </c>
    </row>
    <row r="750" spans="1:56" ht="44.25" customHeight="1" x14ac:dyDescent="0.25">
      <c r="A750" s="7" t="s">
        <v>61</v>
      </c>
      <c r="B750" s="2" t="s">
        <v>8180</v>
      </c>
      <c r="C750" s="2" t="s">
        <v>8181</v>
      </c>
      <c r="D750" s="2" t="s">
        <v>8182</v>
      </c>
      <c r="F750" s="3" t="s">
        <v>61</v>
      </c>
      <c r="G750" s="3" t="s">
        <v>60</v>
      </c>
      <c r="H750" s="3" t="s">
        <v>61</v>
      </c>
      <c r="I750" s="3" t="s">
        <v>61</v>
      </c>
      <c r="J750" s="3" t="s">
        <v>62</v>
      </c>
      <c r="K750" s="2" t="s">
        <v>8183</v>
      </c>
      <c r="L750" s="2" t="s">
        <v>8184</v>
      </c>
      <c r="M750" s="3" t="s">
        <v>5844</v>
      </c>
      <c r="O750" s="3" t="s">
        <v>114</v>
      </c>
      <c r="P750" s="3" t="s">
        <v>619</v>
      </c>
      <c r="R750" s="3" t="s">
        <v>68</v>
      </c>
      <c r="S750" s="4">
        <v>5</v>
      </c>
      <c r="T750" s="4">
        <v>5</v>
      </c>
      <c r="U750" s="5" t="s">
        <v>8185</v>
      </c>
      <c r="V750" s="5" t="s">
        <v>8185</v>
      </c>
      <c r="W750" s="5" t="s">
        <v>7820</v>
      </c>
      <c r="X750" s="5" t="s">
        <v>7820</v>
      </c>
      <c r="Y750" s="4">
        <v>81</v>
      </c>
      <c r="Z750" s="4">
        <v>80</v>
      </c>
      <c r="AA750" s="4">
        <v>80</v>
      </c>
      <c r="AB750" s="4">
        <v>1</v>
      </c>
      <c r="AC750" s="4">
        <v>1</v>
      </c>
      <c r="AD750" s="4">
        <v>4</v>
      </c>
      <c r="AE750" s="4">
        <v>4</v>
      </c>
      <c r="AF750" s="4">
        <v>3</v>
      </c>
      <c r="AG750" s="4">
        <v>3</v>
      </c>
      <c r="AH750" s="4">
        <v>0</v>
      </c>
      <c r="AI750" s="4">
        <v>0</v>
      </c>
      <c r="AJ750" s="4">
        <v>2</v>
      </c>
      <c r="AK750" s="4">
        <v>2</v>
      </c>
      <c r="AL750" s="4">
        <v>0</v>
      </c>
      <c r="AM750" s="4">
        <v>0</v>
      </c>
      <c r="AN750" s="4">
        <v>0</v>
      </c>
      <c r="AO750" s="4">
        <v>0</v>
      </c>
      <c r="AP750" s="3" t="s">
        <v>61</v>
      </c>
      <c r="AQ750" s="3" t="s">
        <v>61</v>
      </c>
      <c r="AS750" s="6" t="str">
        <f>HYPERLINK("https://creighton-primo.hosted.exlibrisgroup.com/primo-explore/search?tab=default_tab&amp;search_scope=EVERYTHING&amp;vid=01CRU&amp;lang=en_US&amp;offset=0&amp;query=any,contains,991002428109702656","Catalog Record")</f>
        <v>Catalog Record</v>
      </c>
      <c r="AT750" s="6" t="str">
        <f>HYPERLINK("http://www.worldcat.org/oclc/345678","WorldCat Record")</f>
        <v>WorldCat Record</v>
      </c>
      <c r="AU750" s="3" t="s">
        <v>8186</v>
      </c>
      <c r="AV750" s="3" t="s">
        <v>8187</v>
      </c>
      <c r="AW750" s="3" t="s">
        <v>8188</v>
      </c>
      <c r="AX750" s="3" t="s">
        <v>8188</v>
      </c>
      <c r="AY750" s="3" t="s">
        <v>8189</v>
      </c>
      <c r="AZ750" s="3" t="s">
        <v>75</v>
      </c>
      <c r="BC750" s="3" t="s">
        <v>8190</v>
      </c>
      <c r="BD750" s="3" t="s">
        <v>8191</v>
      </c>
    </row>
    <row r="751" spans="1:56" ht="44.25" customHeight="1" x14ac:dyDescent="0.25">
      <c r="A751" s="7" t="s">
        <v>61</v>
      </c>
      <c r="B751" s="2" t="s">
        <v>8192</v>
      </c>
      <c r="C751" s="2" t="s">
        <v>8193</v>
      </c>
      <c r="D751" s="2" t="s">
        <v>8194</v>
      </c>
      <c r="F751" s="3" t="s">
        <v>61</v>
      </c>
      <c r="G751" s="3" t="s">
        <v>60</v>
      </c>
      <c r="H751" s="3" t="s">
        <v>61</v>
      </c>
      <c r="I751" s="3" t="s">
        <v>61</v>
      </c>
      <c r="J751" s="3" t="s">
        <v>62</v>
      </c>
      <c r="K751" s="2" t="s">
        <v>8195</v>
      </c>
      <c r="L751" s="2" t="s">
        <v>8196</v>
      </c>
      <c r="M751" s="3" t="s">
        <v>1596</v>
      </c>
      <c r="O751" s="3" t="s">
        <v>114</v>
      </c>
      <c r="P751" s="3" t="s">
        <v>235</v>
      </c>
      <c r="Q751" s="2" t="s">
        <v>7696</v>
      </c>
      <c r="R751" s="3" t="s">
        <v>68</v>
      </c>
      <c r="S751" s="4">
        <v>10</v>
      </c>
      <c r="T751" s="4">
        <v>10</v>
      </c>
      <c r="U751" s="5" t="s">
        <v>3180</v>
      </c>
      <c r="V751" s="5" t="s">
        <v>3180</v>
      </c>
      <c r="W751" s="5" t="s">
        <v>8197</v>
      </c>
      <c r="X751" s="5" t="s">
        <v>8197</v>
      </c>
      <c r="Y751" s="4">
        <v>1729</v>
      </c>
      <c r="Z751" s="4">
        <v>1633</v>
      </c>
      <c r="AA751" s="4">
        <v>2516</v>
      </c>
      <c r="AB751" s="4">
        <v>14</v>
      </c>
      <c r="AC751" s="4">
        <v>21</v>
      </c>
      <c r="AD751" s="4">
        <v>14</v>
      </c>
      <c r="AE751" s="4">
        <v>30</v>
      </c>
      <c r="AF751" s="4">
        <v>7</v>
      </c>
      <c r="AG751" s="4">
        <v>13</v>
      </c>
      <c r="AH751" s="4">
        <v>1</v>
      </c>
      <c r="AI751" s="4">
        <v>4</v>
      </c>
      <c r="AJ751" s="4">
        <v>7</v>
      </c>
      <c r="AK751" s="4">
        <v>15</v>
      </c>
      <c r="AL751" s="4">
        <v>1</v>
      </c>
      <c r="AM751" s="4">
        <v>4</v>
      </c>
      <c r="AN751" s="4">
        <v>0</v>
      </c>
      <c r="AO751" s="4">
        <v>0</v>
      </c>
      <c r="AP751" s="3" t="s">
        <v>61</v>
      </c>
      <c r="AQ751" s="3" t="s">
        <v>61</v>
      </c>
      <c r="AS751" s="6" t="str">
        <f>HYPERLINK("https://creighton-primo.hosted.exlibrisgroup.com/primo-explore/search?tab=default_tab&amp;search_scope=EVERYTHING&amp;vid=01CRU&amp;lang=en_US&amp;offset=0&amp;query=any,contains,991004250219702656","Catalog Record")</f>
        <v>Catalog Record</v>
      </c>
      <c r="AT751" s="6" t="str">
        <f>HYPERLINK("http://www.worldcat.org/oclc/2808703","WorldCat Record")</f>
        <v>WorldCat Record</v>
      </c>
      <c r="AU751" s="3" t="s">
        <v>8198</v>
      </c>
      <c r="AV751" s="3" t="s">
        <v>8199</v>
      </c>
      <c r="AW751" s="3" t="s">
        <v>8200</v>
      </c>
      <c r="AX751" s="3" t="s">
        <v>8200</v>
      </c>
      <c r="AY751" s="3" t="s">
        <v>8201</v>
      </c>
      <c r="AZ751" s="3" t="s">
        <v>75</v>
      </c>
      <c r="BC751" s="3" t="s">
        <v>8202</v>
      </c>
      <c r="BD751" s="3" t="s">
        <v>8203</v>
      </c>
    </row>
    <row r="752" spans="1:56" ht="44.25" customHeight="1" x14ac:dyDescent="0.25">
      <c r="A752" s="7" t="s">
        <v>61</v>
      </c>
      <c r="B752" s="2" t="s">
        <v>8204</v>
      </c>
      <c r="C752" s="2" t="s">
        <v>8205</v>
      </c>
      <c r="D752" s="2" t="s">
        <v>8206</v>
      </c>
      <c r="F752" s="3" t="s">
        <v>61</v>
      </c>
      <c r="G752" s="3" t="s">
        <v>60</v>
      </c>
      <c r="H752" s="3" t="s">
        <v>61</v>
      </c>
      <c r="I752" s="3" t="s">
        <v>61</v>
      </c>
      <c r="J752" s="3" t="s">
        <v>62</v>
      </c>
      <c r="K752" s="2" t="s">
        <v>8207</v>
      </c>
      <c r="L752" s="2" t="s">
        <v>8208</v>
      </c>
      <c r="M752" s="3" t="s">
        <v>205</v>
      </c>
      <c r="O752" s="3" t="s">
        <v>114</v>
      </c>
      <c r="P752" s="3" t="s">
        <v>192</v>
      </c>
      <c r="R752" s="3" t="s">
        <v>68</v>
      </c>
      <c r="S752" s="4">
        <v>9</v>
      </c>
      <c r="T752" s="4">
        <v>9</v>
      </c>
      <c r="U752" s="5" t="s">
        <v>8209</v>
      </c>
      <c r="V752" s="5" t="s">
        <v>8209</v>
      </c>
      <c r="W752" s="5" t="s">
        <v>2699</v>
      </c>
      <c r="X752" s="5" t="s">
        <v>2699</v>
      </c>
      <c r="Y752" s="4">
        <v>677</v>
      </c>
      <c r="Z752" s="4">
        <v>574</v>
      </c>
      <c r="AA752" s="4">
        <v>651</v>
      </c>
      <c r="AB752" s="4">
        <v>7</v>
      </c>
      <c r="AC752" s="4">
        <v>7</v>
      </c>
      <c r="AD752" s="4">
        <v>14</v>
      </c>
      <c r="AE752" s="4">
        <v>15</v>
      </c>
      <c r="AF752" s="4">
        <v>4</v>
      </c>
      <c r="AG752" s="4">
        <v>4</v>
      </c>
      <c r="AH752" s="4">
        <v>2</v>
      </c>
      <c r="AI752" s="4">
        <v>2</v>
      </c>
      <c r="AJ752" s="4">
        <v>7</v>
      </c>
      <c r="AK752" s="4">
        <v>8</v>
      </c>
      <c r="AL752" s="4">
        <v>4</v>
      </c>
      <c r="AM752" s="4">
        <v>4</v>
      </c>
      <c r="AN752" s="4">
        <v>0</v>
      </c>
      <c r="AO752" s="4">
        <v>0</v>
      </c>
      <c r="AP752" s="3" t="s">
        <v>61</v>
      </c>
      <c r="AQ752" s="3" t="s">
        <v>59</v>
      </c>
      <c r="AR752" s="6" t="str">
        <f>HYPERLINK("http://catalog.hathitrust.org/Record/000650187","HathiTrust Record")</f>
        <v>HathiTrust Record</v>
      </c>
      <c r="AS752" s="6" t="str">
        <f>HYPERLINK("https://creighton-primo.hosted.exlibrisgroup.com/primo-explore/search?tab=default_tab&amp;search_scope=EVERYTHING&amp;vid=01CRU&amp;lang=en_US&amp;offset=0&amp;query=any,contains,991000435209702656","Catalog Record")</f>
        <v>Catalog Record</v>
      </c>
      <c r="AT752" s="6" t="str">
        <f>HYPERLINK("http://www.worldcat.org/oclc/11317092","WorldCat Record")</f>
        <v>WorldCat Record</v>
      </c>
      <c r="AU752" s="3" t="s">
        <v>8210</v>
      </c>
      <c r="AV752" s="3" t="s">
        <v>8211</v>
      </c>
      <c r="AW752" s="3" t="s">
        <v>8212</v>
      </c>
      <c r="AX752" s="3" t="s">
        <v>8212</v>
      </c>
      <c r="AY752" s="3" t="s">
        <v>8213</v>
      </c>
      <c r="AZ752" s="3" t="s">
        <v>75</v>
      </c>
      <c r="BB752" s="3" t="s">
        <v>8214</v>
      </c>
      <c r="BC752" s="3" t="s">
        <v>8215</v>
      </c>
      <c r="BD752" s="3" t="s">
        <v>8216</v>
      </c>
    </row>
    <row r="753" spans="1:56" ht="44.25" customHeight="1" x14ac:dyDescent="0.25">
      <c r="A753" s="7" t="s">
        <v>61</v>
      </c>
      <c r="B753" s="2" t="s">
        <v>8217</v>
      </c>
      <c r="C753" s="2" t="s">
        <v>8218</v>
      </c>
      <c r="D753" s="2" t="s">
        <v>8219</v>
      </c>
      <c r="F753" s="3" t="s">
        <v>61</v>
      </c>
      <c r="G753" s="3" t="s">
        <v>60</v>
      </c>
      <c r="H753" s="3" t="s">
        <v>61</v>
      </c>
      <c r="I753" s="3" t="s">
        <v>61</v>
      </c>
      <c r="J753" s="3" t="s">
        <v>62</v>
      </c>
      <c r="K753" s="2" t="s">
        <v>8220</v>
      </c>
      <c r="L753" s="2" t="s">
        <v>8221</v>
      </c>
      <c r="M753" s="3" t="s">
        <v>552</v>
      </c>
      <c r="O753" s="3" t="s">
        <v>114</v>
      </c>
      <c r="P753" s="3" t="s">
        <v>192</v>
      </c>
      <c r="R753" s="3" t="s">
        <v>68</v>
      </c>
      <c r="S753" s="4">
        <v>9</v>
      </c>
      <c r="T753" s="4">
        <v>9</v>
      </c>
      <c r="U753" s="5" t="s">
        <v>7670</v>
      </c>
      <c r="V753" s="5" t="s">
        <v>7670</v>
      </c>
      <c r="W753" s="5" t="s">
        <v>8222</v>
      </c>
      <c r="X753" s="5" t="s">
        <v>8222</v>
      </c>
      <c r="Y753" s="4">
        <v>165</v>
      </c>
      <c r="Z753" s="4">
        <v>86</v>
      </c>
      <c r="AA753" s="4">
        <v>92</v>
      </c>
      <c r="AB753" s="4">
        <v>1</v>
      </c>
      <c r="AC753" s="4">
        <v>1</v>
      </c>
      <c r="AD753" s="4">
        <v>7</v>
      </c>
      <c r="AE753" s="4">
        <v>7</v>
      </c>
      <c r="AF753" s="4">
        <v>3</v>
      </c>
      <c r="AG753" s="4">
        <v>3</v>
      </c>
      <c r="AH753" s="4">
        <v>2</v>
      </c>
      <c r="AI753" s="4">
        <v>2</v>
      </c>
      <c r="AJ753" s="4">
        <v>4</v>
      </c>
      <c r="AK753" s="4">
        <v>4</v>
      </c>
      <c r="AL753" s="4">
        <v>0</v>
      </c>
      <c r="AM753" s="4">
        <v>0</v>
      </c>
      <c r="AN753" s="4">
        <v>0</v>
      </c>
      <c r="AO753" s="4">
        <v>0</v>
      </c>
      <c r="AP753" s="3" t="s">
        <v>61</v>
      </c>
      <c r="AQ753" s="3" t="s">
        <v>59</v>
      </c>
      <c r="AR753" s="6" t="str">
        <f>HYPERLINK("http://catalog.hathitrust.org/Record/002233171","HathiTrust Record")</f>
        <v>HathiTrust Record</v>
      </c>
      <c r="AS753" s="6" t="str">
        <f>HYPERLINK("https://creighton-primo.hosted.exlibrisgroup.com/primo-explore/search?tab=default_tab&amp;search_scope=EVERYTHING&amp;vid=01CRU&amp;lang=en_US&amp;offset=0&amp;query=any,contains,991001573939702656","Catalog Record")</f>
        <v>Catalog Record</v>
      </c>
      <c r="AT753" s="6" t="str">
        <f>HYPERLINK("http://www.worldcat.org/oclc/20418831","WorldCat Record")</f>
        <v>WorldCat Record</v>
      </c>
      <c r="AU753" s="3" t="s">
        <v>8223</v>
      </c>
      <c r="AV753" s="3" t="s">
        <v>8224</v>
      </c>
      <c r="AW753" s="3" t="s">
        <v>8225</v>
      </c>
      <c r="AX753" s="3" t="s">
        <v>8225</v>
      </c>
      <c r="AY753" s="3" t="s">
        <v>8226</v>
      </c>
      <c r="AZ753" s="3" t="s">
        <v>75</v>
      </c>
      <c r="BB753" s="3" t="s">
        <v>8227</v>
      </c>
      <c r="BC753" s="3" t="s">
        <v>8228</v>
      </c>
      <c r="BD753" s="3" t="s">
        <v>8229</v>
      </c>
    </row>
    <row r="754" spans="1:56" ht="44.25" customHeight="1" x14ac:dyDescent="0.25">
      <c r="A754" s="7" t="s">
        <v>61</v>
      </c>
      <c r="B754" s="2" t="s">
        <v>8230</v>
      </c>
      <c r="C754" s="2" t="s">
        <v>8231</v>
      </c>
      <c r="D754" s="2" t="s">
        <v>8232</v>
      </c>
      <c r="F754" s="3" t="s">
        <v>61</v>
      </c>
      <c r="G754" s="3" t="s">
        <v>60</v>
      </c>
      <c r="H754" s="3" t="s">
        <v>61</v>
      </c>
      <c r="I754" s="3" t="s">
        <v>61</v>
      </c>
      <c r="J754" s="3" t="s">
        <v>62</v>
      </c>
      <c r="K754" s="2" t="s">
        <v>4424</v>
      </c>
      <c r="L754" s="2" t="s">
        <v>8233</v>
      </c>
      <c r="M754" s="3" t="s">
        <v>436</v>
      </c>
      <c r="O754" s="3" t="s">
        <v>114</v>
      </c>
      <c r="P754" s="3" t="s">
        <v>192</v>
      </c>
      <c r="R754" s="3" t="s">
        <v>68</v>
      </c>
      <c r="S754" s="4">
        <v>3</v>
      </c>
      <c r="T754" s="4">
        <v>3</v>
      </c>
      <c r="U754" s="5" t="s">
        <v>8234</v>
      </c>
      <c r="V754" s="5" t="s">
        <v>8234</v>
      </c>
      <c r="W754" s="5" t="s">
        <v>8235</v>
      </c>
      <c r="X754" s="5" t="s">
        <v>8235</v>
      </c>
      <c r="Y754" s="4">
        <v>525</v>
      </c>
      <c r="Z754" s="4">
        <v>428</v>
      </c>
      <c r="AA754" s="4">
        <v>433</v>
      </c>
      <c r="AB754" s="4">
        <v>3</v>
      </c>
      <c r="AC754" s="4">
        <v>3</v>
      </c>
      <c r="AD754" s="4">
        <v>12</v>
      </c>
      <c r="AE754" s="4">
        <v>12</v>
      </c>
      <c r="AF754" s="4">
        <v>5</v>
      </c>
      <c r="AG754" s="4">
        <v>5</v>
      </c>
      <c r="AH754" s="4">
        <v>4</v>
      </c>
      <c r="AI754" s="4">
        <v>4</v>
      </c>
      <c r="AJ754" s="4">
        <v>7</v>
      </c>
      <c r="AK754" s="4">
        <v>7</v>
      </c>
      <c r="AL754" s="4">
        <v>0</v>
      </c>
      <c r="AM754" s="4">
        <v>0</v>
      </c>
      <c r="AN754" s="4">
        <v>0</v>
      </c>
      <c r="AO754" s="4">
        <v>0</v>
      </c>
      <c r="AP754" s="3" t="s">
        <v>61</v>
      </c>
      <c r="AQ754" s="3" t="s">
        <v>61</v>
      </c>
      <c r="AS754" s="6" t="str">
        <f>HYPERLINK("https://creighton-primo.hosted.exlibrisgroup.com/primo-explore/search?tab=default_tab&amp;search_scope=EVERYTHING&amp;vid=01CRU&amp;lang=en_US&amp;offset=0&amp;query=any,contains,991001484639702656","Catalog Record")</f>
        <v>Catalog Record</v>
      </c>
      <c r="AT754" s="6" t="str">
        <f>HYPERLINK("http://www.worldcat.org/oclc/19630278","WorldCat Record")</f>
        <v>WorldCat Record</v>
      </c>
      <c r="AU754" s="3" t="s">
        <v>8236</v>
      </c>
      <c r="AV754" s="3" t="s">
        <v>8237</v>
      </c>
      <c r="AW754" s="3" t="s">
        <v>8238</v>
      </c>
      <c r="AX754" s="3" t="s">
        <v>8238</v>
      </c>
      <c r="AY754" s="3" t="s">
        <v>8239</v>
      </c>
      <c r="AZ754" s="3" t="s">
        <v>75</v>
      </c>
      <c r="BB754" s="3" t="s">
        <v>8240</v>
      </c>
      <c r="BC754" s="3" t="s">
        <v>8241</v>
      </c>
      <c r="BD754" s="3" t="s">
        <v>8242</v>
      </c>
    </row>
    <row r="755" spans="1:56" ht="44.25" customHeight="1" x14ac:dyDescent="0.25">
      <c r="A755" s="7" t="s">
        <v>61</v>
      </c>
      <c r="B755" s="2" t="s">
        <v>8243</v>
      </c>
      <c r="C755" s="2" t="s">
        <v>8244</v>
      </c>
      <c r="D755" s="2" t="s">
        <v>8245</v>
      </c>
      <c r="F755" s="3" t="s">
        <v>61</v>
      </c>
      <c r="G755" s="3" t="s">
        <v>60</v>
      </c>
      <c r="H755" s="3" t="s">
        <v>61</v>
      </c>
      <c r="I755" s="3" t="s">
        <v>61</v>
      </c>
      <c r="J755" s="3" t="s">
        <v>62</v>
      </c>
      <c r="L755" s="2" t="s">
        <v>8246</v>
      </c>
      <c r="M755" s="3" t="s">
        <v>2281</v>
      </c>
      <c r="N755" s="2" t="s">
        <v>634</v>
      </c>
      <c r="O755" s="3" t="s">
        <v>114</v>
      </c>
      <c r="P755" s="3" t="s">
        <v>115</v>
      </c>
      <c r="R755" s="3" t="s">
        <v>68</v>
      </c>
      <c r="S755" s="4">
        <v>9</v>
      </c>
      <c r="T755" s="4">
        <v>9</v>
      </c>
      <c r="U755" s="5" t="s">
        <v>8247</v>
      </c>
      <c r="V755" s="5" t="s">
        <v>8247</v>
      </c>
      <c r="W755" s="5" t="s">
        <v>8248</v>
      </c>
      <c r="X755" s="5" t="s">
        <v>8248</v>
      </c>
      <c r="Y755" s="4">
        <v>1059</v>
      </c>
      <c r="Z755" s="4">
        <v>1000</v>
      </c>
      <c r="AA755" s="4">
        <v>1074</v>
      </c>
      <c r="AB755" s="4">
        <v>12</v>
      </c>
      <c r="AC755" s="4">
        <v>12</v>
      </c>
      <c r="AD755" s="4">
        <v>18</v>
      </c>
      <c r="AE755" s="4">
        <v>18</v>
      </c>
      <c r="AF755" s="4">
        <v>8</v>
      </c>
      <c r="AG755" s="4">
        <v>8</v>
      </c>
      <c r="AH755" s="4">
        <v>2</v>
      </c>
      <c r="AI755" s="4">
        <v>2</v>
      </c>
      <c r="AJ755" s="4">
        <v>6</v>
      </c>
      <c r="AK755" s="4">
        <v>6</v>
      </c>
      <c r="AL755" s="4">
        <v>4</v>
      </c>
      <c r="AM755" s="4">
        <v>4</v>
      </c>
      <c r="AN755" s="4">
        <v>0</v>
      </c>
      <c r="AO755" s="4">
        <v>0</v>
      </c>
      <c r="AP755" s="3" t="s">
        <v>61</v>
      </c>
      <c r="AQ755" s="3" t="s">
        <v>61</v>
      </c>
      <c r="AS755" s="6" t="str">
        <f>HYPERLINK("https://creighton-primo.hosted.exlibrisgroup.com/primo-explore/search?tab=default_tab&amp;search_scope=EVERYTHING&amp;vid=01CRU&amp;lang=en_US&amp;offset=0&amp;query=any,contains,991004325389702656","Catalog Record")</f>
        <v>Catalog Record</v>
      </c>
      <c r="AT755" s="6" t="str">
        <f>HYPERLINK("http://www.worldcat.org/oclc/3034451","WorldCat Record")</f>
        <v>WorldCat Record</v>
      </c>
      <c r="AU755" s="3" t="s">
        <v>8249</v>
      </c>
      <c r="AV755" s="3" t="s">
        <v>8250</v>
      </c>
      <c r="AW755" s="3" t="s">
        <v>8251</v>
      </c>
      <c r="AX755" s="3" t="s">
        <v>8251</v>
      </c>
      <c r="AY755" s="3" t="s">
        <v>8252</v>
      </c>
      <c r="AZ755" s="3" t="s">
        <v>75</v>
      </c>
      <c r="BB755" s="3" t="s">
        <v>8253</v>
      </c>
      <c r="BC755" s="3" t="s">
        <v>8254</v>
      </c>
      <c r="BD755" s="3" t="s">
        <v>8255</v>
      </c>
    </row>
    <row r="756" spans="1:56" ht="44.25" customHeight="1" x14ac:dyDescent="0.25">
      <c r="A756" s="7" t="s">
        <v>61</v>
      </c>
      <c r="B756" s="2" t="s">
        <v>8256</v>
      </c>
      <c r="C756" s="2" t="s">
        <v>8257</v>
      </c>
      <c r="D756" s="2" t="s">
        <v>8258</v>
      </c>
      <c r="E756" s="3" t="s">
        <v>84</v>
      </c>
      <c r="F756" s="3" t="s">
        <v>61</v>
      </c>
      <c r="G756" s="3" t="s">
        <v>60</v>
      </c>
      <c r="H756" s="3" t="s">
        <v>61</v>
      </c>
      <c r="I756" s="3" t="s">
        <v>61</v>
      </c>
      <c r="J756" s="3" t="s">
        <v>62</v>
      </c>
      <c r="K756" s="2" t="s">
        <v>8259</v>
      </c>
      <c r="L756" s="2" t="s">
        <v>8260</v>
      </c>
      <c r="M756" s="3" t="s">
        <v>7720</v>
      </c>
      <c r="O756" s="3" t="s">
        <v>114</v>
      </c>
      <c r="P756" s="3" t="s">
        <v>364</v>
      </c>
      <c r="R756" s="3" t="s">
        <v>68</v>
      </c>
      <c r="S756" s="4">
        <v>2</v>
      </c>
      <c r="T756" s="4">
        <v>2</v>
      </c>
      <c r="U756" s="5" t="s">
        <v>8261</v>
      </c>
      <c r="V756" s="5" t="s">
        <v>8261</v>
      </c>
      <c r="W756" s="5" t="s">
        <v>8262</v>
      </c>
      <c r="X756" s="5" t="s">
        <v>8262</v>
      </c>
      <c r="Y756" s="4">
        <v>186</v>
      </c>
      <c r="Z756" s="4">
        <v>184</v>
      </c>
      <c r="AA756" s="4">
        <v>185</v>
      </c>
      <c r="AB756" s="4">
        <v>1</v>
      </c>
      <c r="AC756" s="4">
        <v>1</v>
      </c>
      <c r="AD756" s="4">
        <v>4</v>
      </c>
      <c r="AE756" s="4">
        <v>4</v>
      </c>
      <c r="AF756" s="4">
        <v>1</v>
      </c>
      <c r="AG756" s="4">
        <v>1</v>
      </c>
      <c r="AH756" s="4">
        <v>0</v>
      </c>
      <c r="AI756" s="4">
        <v>0</v>
      </c>
      <c r="AJ756" s="4">
        <v>2</v>
      </c>
      <c r="AK756" s="4">
        <v>2</v>
      </c>
      <c r="AL756" s="4">
        <v>1</v>
      </c>
      <c r="AM756" s="4">
        <v>1</v>
      </c>
      <c r="AN756" s="4">
        <v>0</v>
      </c>
      <c r="AO756" s="4">
        <v>0</v>
      </c>
      <c r="AP756" s="3" t="s">
        <v>61</v>
      </c>
      <c r="AQ756" s="3" t="s">
        <v>59</v>
      </c>
      <c r="AR756" s="6" t="str">
        <f>HYPERLINK("http://catalog.hathitrust.org/Record/100958640","HathiTrust Record")</f>
        <v>HathiTrust Record</v>
      </c>
      <c r="AS756" s="6" t="str">
        <f>HYPERLINK("https://creighton-primo.hosted.exlibrisgroup.com/primo-explore/search?tab=default_tab&amp;search_scope=EVERYTHING&amp;vid=01CRU&amp;lang=en_US&amp;offset=0&amp;query=any,contains,991004560619702656","Catalog Record")</f>
        <v>Catalog Record</v>
      </c>
      <c r="AT756" s="6" t="str">
        <f>HYPERLINK("http://www.worldcat.org/oclc/3997973","WorldCat Record")</f>
        <v>WorldCat Record</v>
      </c>
      <c r="AU756" s="3" t="s">
        <v>8263</v>
      </c>
      <c r="AV756" s="3" t="s">
        <v>8264</v>
      </c>
      <c r="AW756" s="3" t="s">
        <v>8265</v>
      </c>
      <c r="AX756" s="3" t="s">
        <v>8265</v>
      </c>
      <c r="AY756" s="3" t="s">
        <v>8266</v>
      </c>
      <c r="AZ756" s="3" t="s">
        <v>75</v>
      </c>
      <c r="BC756" s="3" t="s">
        <v>8267</v>
      </c>
      <c r="BD756" s="3" t="s">
        <v>8268</v>
      </c>
    </row>
    <row r="757" spans="1:56" ht="44.25" customHeight="1" x14ac:dyDescent="0.25">
      <c r="A757" s="7" t="s">
        <v>61</v>
      </c>
      <c r="B757" s="2" t="s">
        <v>8269</v>
      </c>
      <c r="C757" s="2" t="s">
        <v>8270</v>
      </c>
      <c r="D757" s="2" t="s">
        <v>8271</v>
      </c>
      <c r="E757" s="3" t="s">
        <v>81</v>
      </c>
      <c r="F757" s="3" t="s">
        <v>59</v>
      </c>
      <c r="G757" s="3" t="s">
        <v>60</v>
      </c>
      <c r="H757" s="3" t="s">
        <v>61</v>
      </c>
      <c r="I757" s="3" t="s">
        <v>61</v>
      </c>
      <c r="J757" s="3" t="s">
        <v>62</v>
      </c>
      <c r="L757" s="2" t="s">
        <v>8272</v>
      </c>
      <c r="M757" s="3" t="s">
        <v>8273</v>
      </c>
      <c r="O757" s="3" t="s">
        <v>114</v>
      </c>
      <c r="P757" s="3" t="s">
        <v>235</v>
      </c>
      <c r="R757" s="3" t="s">
        <v>68</v>
      </c>
      <c r="S757" s="4">
        <v>0</v>
      </c>
      <c r="T757" s="4">
        <v>10</v>
      </c>
      <c r="V757" s="5" t="s">
        <v>8261</v>
      </c>
      <c r="W757" s="5" t="s">
        <v>7196</v>
      </c>
      <c r="X757" s="5" t="s">
        <v>7196</v>
      </c>
      <c r="Y757" s="4">
        <v>731</v>
      </c>
      <c r="Z757" s="4">
        <v>726</v>
      </c>
      <c r="AA757" s="4">
        <v>741</v>
      </c>
      <c r="AB757" s="4">
        <v>3</v>
      </c>
      <c r="AC757" s="4">
        <v>3</v>
      </c>
      <c r="AD757" s="4">
        <v>24</v>
      </c>
      <c r="AE757" s="4">
        <v>24</v>
      </c>
      <c r="AF757" s="4">
        <v>12</v>
      </c>
      <c r="AG757" s="4">
        <v>12</v>
      </c>
      <c r="AH757" s="4">
        <v>5</v>
      </c>
      <c r="AI757" s="4">
        <v>5</v>
      </c>
      <c r="AJ757" s="4">
        <v>11</v>
      </c>
      <c r="AK757" s="4">
        <v>11</v>
      </c>
      <c r="AL757" s="4">
        <v>2</v>
      </c>
      <c r="AM757" s="4">
        <v>2</v>
      </c>
      <c r="AN757" s="4">
        <v>0</v>
      </c>
      <c r="AO757" s="4">
        <v>0</v>
      </c>
      <c r="AP757" s="3" t="s">
        <v>61</v>
      </c>
      <c r="AQ757" s="3" t="s">
        <v>61</v>
      </c>
      <c r="AR757" s="6" t="str">
        <f t="shared" ref="AR757:AR764" si="20">HYPERLINK("http://catalog.hathitrust.org/Record/008223521","HathiTrust Record")</f>
        <v>HathiTrust Record</v>
      </c>
      <c r="AS757" s="6" t="str">
        <f t="shared" ref="AS757:AS764" si="21">HYPERLINK("https://creighton-primo.hosted.exlibrisgroup.com/primo-explore/search?tab=default_tab&amp;search_scope=EVERYTHING&amp;vid=01CRU&amp;lang=en_US&amp;offset=0&amp;query=any,contains,991004983209702656","Catalog Record")</f>
        <v>Catalog Record</v>
      </c>
      <c r="AT757" s="6" t="str">
        <f t="shared" ref="AT757:AT764" si="22">HYPERLINK("http://www.worldcat.org/oclc/6439045","WorldCat Record")</f>
        <v>WorldCat Record</v>
      </c>
      <c r="AU757" s="3" t="s">
        <v>8274</v>
      </c>
      <c r="AV757" s="3" t="s">
        <v>8275</v>
      </c>
      <c r="AW757" s="3" t="s">
        <v>8276</v>
      </c>
      <c r="AX757" s="3" t="s">
        <v>8276</v>
      </c>
      <c r="AY757" s="3" t="s">
        <v>8277</v>
      </c>
      <c r="AZ757" s="3" t="s">
        <v>75</v>
      </c>
      <c r="BC757" s="3" t="s">
        <v>8278</v>
      </c>
      <c r="BD757" s="3" t="s">
        <v>8279</v>
      </c>
    </row>
    <row r="758" spans="1:56" ht="44.25" customHeight="1" x14ac:dyDescent="0.25">
      <c r="A758" s="7" t="s">
        <v>61</v>
      </c>
      <c r="B758" s="2" t="s">
        <v>8269</v>
      </c>
      <c r="C758" s="2" t="s">
        <v>8270</v>
      </c>
      <c r="D758" s="2" t="s">
        <v>8271</v>
      </c>
      <c r="E758" s="3" t="s">
        <v>87</v>
      </c>
      <c r="F758" s="3" t="s">
        <v>59</v>
      </c>
      <c r="G758" s="3" t="s">
        <v>60</v>
      </c>
      <c r="H758" s="3" t="s">
        <v>61</v>
      </c>
      <c r="I758" s="3" t="s">
        <v>61</v>
      </c>
      <c r="J758" s="3" t="s">
        <v>62</v>
      </c>
      <c r="L758" s="2" t="s">
        <v>8272</v>
      </c>
      <c r="M758" s="3" t="s">
        <v>8273</v>
      </c>
      <c r="O758" s="3" t="s">
        <v>114</v>
      </c>
      <c r="P758" s="3" t="s">
        <v>235</v>
      </c>
      <c r="R758" s="3" t="s">
        <v>68</v>
      </c>
      <c r="S758" s="4">
        <v>0</v>
      </c>
      <c r="T758" s="4">
        <v>10</v>
      </c>
      <c r="V758" s="5" t="s">
        <v>8261</v>
      </c>
      <c r="W758" s="5" t="s">
        <v>7196</v>
      </c>
      <c r="X758" s="5" t="s">
        <v>7196</v>
      </c>
      <c r="Y758" s="4">
        <v>731</v>
      </c>
      <c r="Z758" s="4">
        <v>726</v>
      </c>
      <c r="AA758" s="4">
        <v>741</v>
      </c>
      <c r="AB758" s="4">
        <v>3</v>
      </c>
      <c r="AC758" s="4">
        <v>3</v>
      </c>
      <c r="AD758" s="4">
        <v>24</v>
      </c>
      <c r="AE758" s="4">
        <v>24</v>
      </c>
      <c r="AF758" s="4">
        <v>12</v>
      </c>
      <c r="AG758" s="4">
        <v>12</v>
      </c>
      <c r="AH758" s="4">
        <v>5</v>
      </c>
      <c r="AI758" s="4">
        <v>5</v>
      </c>
      <c r="AJ758" s="4">
        <v>11</v>
      </c>
      <c r="AK758" s="4">
        <v>11</v>
      </c>
      <c r="AL758" s="4">
        <v>2</v>
      </c>
      <c r="AM758" s="4">
        <v>2</v>
      </c>
      <c r="AN758" s="4">
        <v>0</v>
      </c>
      <c r="AO758" s="4">
        <v>0</v>
      </c>
      <c r="AP758" s="3" t="s">
        <v>61</v>
      </c>
      <c r="AQ758" s="3" t="s">
        <v>61</v>
      </c>
      <c r="AR758" s="6" t="str">
        <f t="shared" si="20"/>
        <v>HathiTrust Record</v>
      </c>
      <c r="AS758" s="6" t="str">
        <f t="shared" si="21"/>
        <v>Catalog Record</v>
      </c>
      <c r="AT758" s="6" t="str">
        <f t="shared" si="22"/>
        <v>WorldCat Record</v>
      </c>
      <c r="AU758" s="3" t="s">
        <v>8274</v>
      </c>
      <c r="AV758" s="3" t="s">
        <v>8275</v>
      </c>
      <c r="AW758" s="3" t="s">
        <v>8276</v>
      </c>
      <c r="AX758" s="3" t="s">
        <v>8276</v>
      </c>
      <c r="AY758" s="3" t="s">
        <v>8277</v>
      </c>
      <c r="AZ758" s="3" t="s">
        <v>75</v>
      </c>
      <c r="BC758" s="3" t="s">
        <v>8280</v>
      </c>
      <c r="BD758" s="3" t="s">
        <v>8281</v>
      </c>
    </row>
    <row r="759" spans="1:56" ht="44.25" customHeight="1" x14ac:dyDescent="0.25">
      <c r="A759" s="7" t="s">
        <v>61</v>
      </c>
      <c r="B759" s="2" t="s">
        <v>8269</v>
      </c>
      <c r="C759" s="2" t="s">
        <v>8270</v>
      </c>
      <c r="D759" s="2" t="s">
        <v>8271</v>
      </c>
      <c r="E759" s="3" t="s">
        <v>90</v>
      </c>
      <c r="F759" s="3" t="s">
        <v>59</v>
      </c>
      <c r="G759" s="3" t="s">
        <v>60</v>
      </c>
      <c r="H759" s="3" t="s">
        <v>61</v>
      </c>
      <c r="I759" s="3" t="s">
        <v>61</v>
      </c>
      <c r="J759" s="3" t="s">
        <v>62</v>
      </c>
      <c r="L759" s="2" t="s">
        <v>8272</v>
      </c>
      <c r="M759" s="3" t="s">
        <v>8273</v>
      </c>
      <c r="O759" s="3" t="s">
        <v>114</v>
      </c>
      <c r="P759" s="3" t="s">
        <v>235</v>
      </c>
      <c r="R759" s="3" t="s">
        <v>68</v>
      </c>
      <c r="S759" s="4">
        <v>2</v>
      </c>
      <c r="T759" s="4">
        <v>10</v>
      </c>
      <c r="U759" s="5" t="s">
        <v>8261</v>
      </c>
      <c r="V759" s="5" t="s">
        <v>8261</v>
      </c>
      <c r="W759" s="5" t="s">
        <v>7196</v>
      </c>
      <c r="X759" s="5" t="s">
        <v>7196</v>
      </c>
      <c r="Y759" s="4">
        <v>731</v>
      </c>
      <c r="Z759" s="4">
        <v>726</v>
      </c>
      <c r="AA759" s="4">
        <v>741</v>
      </c>
      <c r="AB759" s="4">
        <v>3</v>
      </c>
      <c r="AC759" s="4">
        <v>3</v>
      </c>
      <c r="AD759" s="4">
        <v>24</v>
      </c>
      <c r="AE759" s="4">
        <v>24</v>
      </c>
      <c r="AF759" s="4">
        <v>12</v>
      </c>
      <c r="AG759" s="4">
        <v>12</v>
      </c>
      <c r="AH759" s="4">
        <v>5</v>
      </c>
      <c r="AI759" s="4">
        <v>5</v>
      </c>
      <c r="AJ759" s="4">
        <v>11</v>
      </c>
      <c r="AK759" s="4">
        <v>11</v>
      </c>
      <c r="AL759" s="4">
        <v>2</v>
      </c>
      <c r="AM759" s="4">
        <v>2</v>
      </c>
      <c r="AN759" s="4">
        <v>0</v>
      </c>
      <c r="AO759" s="4">
        <v>0</v>
      </c>
      <c r="AP759" s="3" t="s">
        <v>61</v>
      </c>
      <c r="AQ759" s="3" t="s">
        <v>61</v>
      </c>
      <c r="AR759" s="6" t="str">
        <f t="shared" si="20"/>
        <v>HathiTrust Record</v>
      </c>
      <c r="AS759" s="6" t="str">
        <f t="shared" si="21"/>
        <v>Catalog Record</v>
      </c>
      <c r="AT759" s="6" t="str">
        <f t="shared" si="22"/>
        <v>WorldCat Record</v>
      </c>
      <c r="AU759" s="3" t="s">
        <v>8274</v>
      </c>
      <c r="AV759" s="3" t="s">
        <v>8275</v>
      </c>
      <c r="AW759" s="3" t="s">
        <v>8276</v>
      </c>
      <c r="AX759" s="3" t="s">
        <v>8276</v>
      </c>
      <c r="AY759" s="3" t="s">
        <v>8277</v>
      </c>
      <c r="AZ759" s="3" t="s">
        <v>75</v>
      </c>
      <c r="BC759" s="3" t="s">
        <v>8282</v>
      </c>
      <c r="BD759" s="3" t="s">
        <v>8283</v>
      </c>
    </row>
    <row r="760" spans="1:56" ht="44.25" customHeight="1" x14ac:dyDescent="0.25">
      <c r="A760" s="7" t="s">
        <v>61</v>
      </c>
      <c r="B760" s="2" t="s">
        <v>8269</v>
      </c>
      <c r="C760" s="2" t="s">
        <v>8270</v>
      </c>
      <c r="D760" s="2" t="s">
        <v>8271</v>
      </c>
      <c r="E760" s="3" t="s">
        <v>99</v>
      </c>
      <c r="F760" s="3" t="s">
        <v>59</v>
      </c>
      <c r="G760" s="3" t="s">
        <v>60</v>
      </c>
      <c r="H760" s="3" t="s">
        <v>61</v>
      </c>
      <c r="I760" s="3" t="s">
        <v>61</v>
      </c>
      <c r="J760" s="3" t="s">
        <v>62</v>
      </c>
      <c r="L760" s="2" t="s">
        <v>8272</v>
      </c>
      <c r="M760" s="3" t="s">
        <v>8273</v>
      </c>
      <c r="O760" s="3" t="s">
        <v>114</v>
      </c>
      <c r="P760" s="3" t="s">
        <v>235</v>
      </c>
      <c r="R760" s="3" t="s">
        <v>68</v>
      </c>
      <c r="S760" s="4">
        <v>2</v>
      </c>
      <c r="T760" s="4">
        <v>10</v>
      </c>
      <c r="V760" s="5" t="s">
        <v>8261</v>
      </c>
      <c r="W760" s="5" t="s">
        <v>7196</v>
      </c>
      <c r="X760" s="5" t="s">
        <v>7196</v>
      </c>
      <c r="Y760" s="4">
        <v>731</v>
      </c>
      <c r="Z760" s="4">
        <v>726</v>
      </c>
      <c r="AA760" s="4">
        <v>741</v>
      </c>
      <c r="AB760" s="4">
        <v>3</v>
      </c>
      <c r="AC760" s="4">
        <v>3</v>
      </c>
      <c r="AD760" s="4">
        <v>24</v>
      </c>
      <c r="AE760" s="4">
        <v>24</v>
      </c>
      <c r="AF760" s="4">
        <v>12</v>
      </c>
      <c r="AG760" s="4">
        <v>12</v>
      </c>
      <c r="AH760" s="4">
        <v>5</v>
      </c>
      <c r="AI760" s="4">
        <v>5</v>
      </c>
      <c r="AJ760" s="4">
        <v>11</v>
      </c>
      <c r="AK760" s="4">
        <v>11</v>
      </c>
      <c r="AL760" s="4">
        <v>2</v>
      </c>
      <c r="AM760" s="4">
        <v>2</v>
      </c>
      <c r="AN760" s="4">
        <v>0</v>
      </c>
      <c r="AO760" s="4">
        <v>0</v>
      </c>
      <c r="AP760" s="3" t="s">
        <v>61</v>
      </c>
      <c r="AQ760" s="3" t="s">
        <v>61</v>
      </c>
      <c r="AR760" s="6" t="str">
        <f t="shared" si="20"/>
        <v>HathiTrust Record</v>
      </c>
      <c r="AS760" s="6" t="str">
        <f t="shared" si="21"/>
        <v>Catalog Record</v>
      </c>
      <c r="AT760" s="6" t="str">
        <f t="shared" si="22"/>
        <v>WorldCat Record</v>
      </c>
      <c r="AU760" s="3" t="s">
        <v>8274</v>
      </c>
      <c r="AV760" s="3" t="s">
        <v>8275</v>
      </c>
      <c r="AW760" s="3" t="s">
        <v>8276</v>
      </c>
      <c r="AX760" s="3" t="s">
        <v>8276</v>
      </c>
      <c r="AY760" s="3" t="s">
        <v>8277</v>
      </c>
      <c r="AZ760" s="3" t="s">
        <v>75</v>
      </c>
      <c r="BC760" s="3" t="s">
        <v>8284</v>
      </c>
      <c r="BD760" s="3" t="s">
        <v>8285</v>
      </c>
    </row>
    <row r="761" spans="1:56" ht="44.25" customHeight="1" x14ac:dyDescent="0.25">
      <c r="A761" s="7" t="s">
        <v>61</v>
      </c>
      <c r="B761" s="2" t="s">
        <v>8269</v>
      </c>
      <c r="C761" s="2" t="s">
        <v>8270</v>
      </c>
      <c r="D761" s="2" t="s">
        <v>8271</v>
      </c>
      <c r="E761" s="3" t="s">
        <v>78</v>
      </c>
      <c r="F761" s="3" t="s">
        <v>59</v>
      </c>
      <c r="G761" s="3" t="s">
        <v>60</v>
      </c>
      <c r="H761" s="3" t="s">
        <v>61</v>
      </c>
      <c r="I761" s="3" t="s">
        <v>61</v>
      </c>
      <c r="J761" s="3" t="s">
        <v>62</v>
      </c>
      <c r="L761" s="2" t="s">
        <v>8272</v>
      </c>
      <c r="M761" s="3" t="s">
        <v>8273</v>
      </c>
      <c r="O761" s="3" t="s">
        <v>114</v>
      </c>
      <c r="P761" s="3" t="s">
        <v>235</v>
      </c>
      <c r="R761" s="3" t="s">
        <v>68</v>
      </c>
      <c r="S761" s="4">
        <v>0</v>
      </c>
      <c r="T761" s="4">
        <v>10</v>
      </c>
      <c r="V761" s="5" t="s">
        <v>8261</v>
      </c>
      <c r="W761" s="5" t="s">
        <v>7196</v>
      </c>
      <c r="X761" s="5" t="s">
        <v>7196</v>
      </c>
      <c r="Y761" s="4">
        <v>731</v>
      </c>
      <c r="Z761" s="4">
        <v>726</v>
      </c>
      <c r="AA761" s="4">
        <v>741</v>
      </c>
      <c r="AB761" s="4">
        <v>3</v>
      </c>
      <c r="AC761" s="4">
        <v>3</v>
      </c>
      <c r="AD761" s="4">
        <v>24</v>
      </c>
      <c r="AE761" s="4">
        <v>24</v>
      </c>
      <c r="AF761" s="4">
        <v>12</v>
      </c>
      <c r="AG761" s="4">
        <v>12</v>
      </c>
      <c r="AH761" s="4">
        <v>5</v>
      </c>
      <c r="AI761" s="4">
        <v>5</v>
      </c>
      <c r="AJ761" s="4">
        <v>11</v>
      </c>
      <c r="AK761" s="4">
        <v>11</v>
      </c>
      <c r="AL761" s="4">
        <v>2</v>
      </c>
      <c r="AM761" s="4">
        <v>2</v>
      </c>
      <c r="AN761" s="4">
        <v>0</v>
      </c>
      <c r="AO761" s="4">
        <v>0</v>
      </c>
      <c r="AP761" s="3" t="s">
        <v>61</v>
      </c>
      <c r="AQ761" s="3" t="s">
        <v>61</v>
      </c>
      <c r="AR761" s="6" t="str">
        <f t="shared" si="20"/>
        <v>HathiTrust Record</v>
      </c>
      <c r="AS761" s="6" t="str">
        <f t="shared" si="21"/>
        <v>Catalog Record</v>
      </c>
      <c r="AT761" s="6" t="str">
        <f t="shared" si="22"/>
        <v>WorldCat Record</v>
      </c>
      <c r="AU761" s="3" t="s">
        <v>8274</v>
      </c>
      <c r="AV761" s="3" t="s">
        <v>8275</v>
      </c>
      <c r="AW761" s="3" t="s">
        <v>8276</v>
      </c>
      <c r="AX761" s="3" t="s">
        <v>8276</v>
      </c>
      <c r="AY761" s="3" t="s">
        <v>8277</v>
      </c>
      <c r="AZ761" s="3" t="s">
        <v>75</v>
      </c>
      <c r="BC761" s="3" t="s">
        <v>8286</v>
      </c>
      <c r="BD761" s="3" t="s">
        <v>8287</v>
      </c>
    </row>
    <row r="762" spans="1:56" ht="44.25" customHeight="1" x14ac:dyDescent="0.25">
      <c r="A762" s="7" t="s">
        <v>61</v>
      </c>
      <c r="B762" s="2" t="s">
        <v>8269</v>
      </c>
      <c r="C762" s="2" t="s">
        <v>8270</v>
      </c>
      <c r="D762" s="2" t="s">
        <v>8271</v>
      </c>
      <c r="E762" s="3" t="s">
        <v>93</v>
      </c>
      <c r="F762" s="3" t="s">
        <v>59</v>
      </c>
      <c r="G762" s="3" t="s">
        <v>60</v>
      </c>
      <c r="H762" s="3" t="s">
        <v>61</v>
      </c>
      <c r="I762" s="3" t="s">
        <v>61</v>
      </c>
      <c r="J762" s="3" t="s">
        <v>62</v>
      </c>
      <c r="L762" s="2" t="s">
        <v>8272</v>
      </c>
      <c r="M762" s="3" t="s">
        <v>8273</v>
      </c>
      <c r="O762" s="3" t="s">
        <v>114</v>
      </c>
      <c r="P762" s="3" t="s">
        <v>235</v>
      </c>
      <c r="R762" s="3" t="s">
        <v>68</v>
      </c>
      <c r="S762" s="4">
        <v>0</v>
      </c>
      <c r="T762" s="4">
        <v>10</v>
      </c>
      <c r="V762" s="5" t="s">
        <v>8261</v>
      </c>
      <c r="W762" s="5" t="s">
        <v>7196</v>
      </c>
      <c r="X762" s="5" t="s">
        <v>7196</v>
      </c>
      <c r="Y762" s="4">
        <v>731</v>
      </c>
      <c r="Z762" s="4">
        <v>726</v>
      </c>
      <c r="AA762" s="4">
        <v>741</v>
      </c>
      <c r="AB762" s="4">
        <v>3</v>
      </c>
      <c r="AC762" s="4">
        <v>3</v>
      </c>
      <c r="AD762" s="4">
        <v>24</v>
      </c>
      <c r="AE762" s="4">
        <v>24</v>
      </c>
      <c r="AF762" s="4">
        <v>12</v>
      </c>
      <c r="AG762" s="4">
        <v>12</v>
      </c>
      <c r="AH762" s="4">
        <v>5</v>
      </c>
      <c r="AI762" s="4">
        <v>5</v>
      </c>
      <c r="AJ762" s="4">
        <v>11</v>
      </c>
      <c r="AK762" s="4">
        <v>11</v>
      </c>
      <c r="AL762" s="4">
        <v>2</v>
      </c>
      <c r="AM762" s="4">
        <v>2</v>
      </c>
      <c r="AN762" s="4">
        <v>0</v>
      </c>
      <c r="AO762" s="4">
        <v>0</v>
      </c>
      <c r="AP762" s="3" t="s">
        <v>61</v>
      </c>
      <c r="AQ762" s="3" t="s">
        <v>61</v>
      </c>
      <c r="AR762" s="6" t="str">
        <f t="shared" si="20"/>
        <v>HathiTrust Record</v>
      </c>
      <c r="AS762" s="6" t="str">
        <f t="shared" si="21"/>
        <v>Catalog Record</v>
      </c>
      <c r="AT762" s="6" t="str">
        <f t="shared" si="22"/>
        <v>WorldCat Record</v>
      </c>
      <c r="AU762" s="3" t="s">
        <v>8274</v>
      </c>
      <c r="AV762" s="3" t="s">
        <v>8275</v>
      </c>
      <c r="AW762" s="3" t="s">
        <v>8276</v>
      </c>
      <c r="AX762" s="3" t="s">
        <v>8276</v>
      </c>
      <c r="AY762" s="3" t="s">
        <v>8277</v>
      </c>
      <c r="AZ762" s="3" t="s">
        <v>75</v>
      </c>
      <c r="BC762" s="3" t="s">
        <v>8288</v>
      </c>
      <c r="BD762" s="3" t="s">
        <v>8289</v>
      </c>
    </row>
    <row r="763" spans="1:56" ht="44.25" customHeight="1" x14ac:dyDescent="0.25">
      <c r="A763" s="7" t="s">
        <v>61</v>
      </c>
      <c r="B763" s="2" t="s">
        <v>8269</v>
      </c>
      <c r="C763" s="2" t="s">
        <v>8270</v>
      </c>
      <c r="D763" s="2" t="s">
        <v>8271</v>
      </c>
      <c r="E763" s="3" t="s">
        <v>84</v>
      </c>
      <c r="F763" s="3" t="s">
        <v>59</v>
      </c>
      <c r="G763" s="3" t="s">
        <v>60</v>
      </c>
      <c r="H763" s="3" t="s">
        <v>61</v>
      </c>
      <c r="I763" s="3" t="s">
        <v>61</v>
      </c>
      <c r="J763" s="3" t="s">
        <v>62</v>
      </c>
      <c r="L763" s="2" t="s">
        <v>8272</v>
      </c>
      <c r="M763" s="3" t="s">
        <v>8273</v>
      </c>
      <c r="O763" s="3" t="s">
        <v>114</v>
      </c>
      <c r="P763" s="3" t="s">
        <v>235</v>
      </c>
      <c r="R763" s="3" t="s">
        <v>68</v>
      </c>
      <c r="S763" s="4">
        <v>4</v>
      </c>
      <c r="T763" s="4">
        <v>10</v>
      </c>
      <c r="U763" s="5" t="s">
        <v>8261</v>
      </c>
      <c r="V763" s="5" t="s">
        <v>8261</v>
      </c>
      <c r="W763" s="5" t="s">
        <v>7196</v>
      </c>
      <c r="X763" s="5" t="s">
        <v>7196</v>
      </c>
      <c r="Y763" s="4">
        <v>731</v>
      </c>
      <c r="Z763" s="4">
        <v>726</v>
      </c>
      <c r="AA763" s="4">
        <v>741</v>
      </c>
      <c r="AB763" s="4">
        <v>3</v>
      </c>
      <c r="AC763" s="4">
        <v>3</v>
      </c>
      <c r="AD763" s="4">
        <v>24</v>
      </c>
      <c r="AE763" s="4">
        <v>24</v>
      </c>
      <c r="AF763" s="4">
        <v>12</v>
      </c>
      <c r="AG763" s="4">
        <v>12</v>
      </c>
      <c r="AH763" s="4">
        <v>5</v>
      </c>
      <c r="AI763" s="4">
        <v>5</v>
      </c>
      <c r="AJ763" s="4">
        <v>11</v>
      </c>
      <c r="AK763" s="4">
        <v>11</v>
      </c>
      <c r="AL763" s="4">
        <v>2</v>
      </c>
      <c r="AM763" s="4">
        <v>2</v>
      </c>
      <c r="AN763" s="4">
        <v>0</v>
      </c>
      <c r="AO763" s="4">
        <v>0</v>
      </c>
      <c r="AP763" s="3" t="s">
        <v>61</v>
      </c>
      <c r="AQ763" s="3" t="s">
        <v>61</v>
      </c>
      <c r="AR763" s="6" t="str">
        <f t="shared" si="20"/>
        <v>HathiTrust Record</v>
      </c>
      <c r="AS763" s="6" t="str">
        <f t="shared" si="21"/>
        <v>Catalog Record</v>
      </c>
      <c r="AT763" s="6" t="str">
        <f t="shared" si="22"/>
        <v>WorldCat Record</v>
      </c>
      <c r="AU763" s="3" t="s">
        <v>8274</v>
      </c>
      <c r="AV763" s="3" t="s">
        <v>8275</v>
      </c>
      <c r="AW763" s="3" t="s">
        <v>8276</v>
      </c>
      <c r="AX763" s="3" t="s">
        <v>8276</v>
      </c>
      <c r="AY763" s="3" t="s">
        <v>8277</v>
      </c>
      <c r="AZ763" s="3" t="s">
        <v>75</v>
      </c>
      <c r="BC763" s="3" t="s">
        <v>8290</v>
      </c>
      <c r="BD763" s="3" t="s">
        <v>8291</v>
      </c>
    </row>
    <row r="764" spans="1:56" ht="44.25" customHeight="1" x14ac:dyDescent="0.25">
      <c r="A764" s="7" t="s">
        <v>61</v>
      </c>
      <c r="B764" s="2" t="s">
        <v>8269</v>
      </c>
      <c r="C764" s="2" t="s">
        <v>8270</v>
      </c>
      <c r="D764" s="2" t="s">
        <v>8271</v>
      </c>
      <c r="E764" s="3" t="s">
        <v>141</v>
      </c>
      <c r="F764" s="3" t="s">
        <v>59</v>
      </c>
      <c r="G764" s="3" t="s">
        <v>60</v>
      </c>
      <c r="H764" s="3" t="s">
        <v>61</v>
      </c>
      <c r="I764" s="3" t="s">
        <v>61</v>
      </c>
      <c r="J764" s="3" t="s">
        <v>62</v>
      </c>
      <c r="L764" s="2" t="s">
        <v>8272</v>
      </c>
      <c r="M764" s="3" t="s">
        <v>8273</v>
      </c>
      <c r="O764" s="3" t="s">
        <v>114</v>
      </c>
      <c r="P764" s="3" t="s">
        <v>235</v>
      </c>
      <c r="R764" s="3" t="s">
        <v>68</v>
      </c>
      <c r="S764" s="4">
        <v>2</v>
      </c>
      <c r="T764" s="4">
        <v>10</v>
      </c>
      <c r="U764" s="5" t="s">
        <v>8261</v>
      </c>
      <c r="V764" s="5" t="s">
        <v>8261</v>
      </c>
      <c r="W764" s="5" t="s">
        <v>7196</v>
      </c>
      <c r="X764" s="5" t="s">
        <v>7196</v>
      </c>
      <c r="Y764" s="4">
        <v>731</v>
      </c>
      <c r="Z764" s="4">
        <v>726</v>
      </c>
      <c r="AA764" s="4">
        <v>741</v>
      </c>
      <c r="AB764" s="4">
        <v>3</v>
      </c>
      <c r="AC764" s="4">
        <v>3</v>
      </c>
      <c r="AD764" s="4">
        <v>24</v>
      </c>
      <c r="AE764" s="4">
        <v>24</v>
      </c>
      <c r="AF764" s="4">
        <v>12</v>
      </c>
      <c r="AG764" s="4">
        <v>12</v>
      </c>
      <c r="AH764" s="4">
        <v>5</v>
      </c>
      <c r="AI764" s="4">
        <v>5</v>
      </c>
      <c r="AJ764" s="4">
        <v>11</v>
      </c>
      <c r="AK764" s="4">
        <v>11</v>
      </c>
      <c r="AL764" s="4">
        <v>2</v>
      </c>
      <c r="AM764" s="4">
        <v>2</v>
      </c>
      <c r="AN764" s="4">
        <v>0</v>
      </c>
      <c r="AO764" s="4">
        <v>0</v>
      </c>
      <c r="AP764" s="3" t="s">
        <v>61</v>
      </c>
      <c r="AQ764" s="3" t="s">
        <v>61</v>
      </c>
      <c r="AR764" s="6" t="str">
        <f t="shared" si="20"/>
        <v>HathiTrust Record</v>
      </c>
      <c r="AS764" s="6" t="str">
        <f t="shared" si="21"/>
        <v>Catalog Record</v>
      </c>
      <c r="AT764" s="6" t="str">
        <f t="shared" si="22"/>
        <v>WorldCat Record</v>
      </c>
      <c r="AU764" s="3" t="s">
        <v>8274</v>
      </c>
      <c r="AV764" s="3" t="s">
        <v>8275</v>
      </c>
      <c r="AW764" s="3" t="s">
        <v>8276</v>
      </c>
      <c r="AX764" s="3" t="s">
        <v>8276</v>
      </c>
      <c r="AY764" s="3" t="s">
        <v>8277</v>
      </c>
      <c r="AZ764" s="3" t="s">
        <v>75</v>
      </c>
      <c r="BC764" s="3" t="s">
        <v>8292</v>
      </c>
      <c r="BD764" s="3" t="s">
        <v>8293</v>
      </c>
    </row>
    <row r="765" spans="1:56" ht="44.25" customHeight="1" x14ac:dyDescent="0.25">
      <c r="A765" s="7" t="s">
        <v>61</v>
      </c>
      <c r="B765" s="2" t="s">
        <v>8294</v>
      </c>
      <c r="C765" s="2" t="s">
        <v>8295</v>
      </c>
      <c r="D765" s="2" t="s">
        <v>8296</v>
      </c>
      <c r="F765" s="3" t="s">
        <v>61</v>
      </c>
      <c r="G765" s="3" t="s">
        <v>60</v>
      </c>
      <c r="H765" s="3" t="s">
        <v>61</v>
      </c>
      <c r="I765" s="3" t="s">
        <v>61</v>
      </c>
      <c r="J765" s="3" t="s">
        <v>62</v>
      </c>
      <c r="K765" s="2" t="s">
        <v>8297</v>
      </c>
      <c r="L765" s="2" t="s">
        <v>8298</v>
      </c>
      <c r="M765" s="3" t="s">
        <v>3279</v>
      </c>
      <c r="O765" s="3" t="s">
        <v>114</v>
      </c>
      <c r="P765" s="3" t="s">
        <v>235</v>
      </c>
      <c r="R765" s="3" t="s">
        <v>68</v>
      </c>
      <c r="S765" s="4">
        <v>5</v>
      </c>
      <c r="T765" s="4">
        <v>5</v>
      </c>
      <c r="U765" s="5" t="s">
        <v>8299</v>
      </c>
      <c r="V765" s="5" t="s">
        <v>8299</v>
      </c>
      <c r="W765" s="5" t="s">
        <v>8300</v>
      </c>
      <c r="X765" s="5" t="s">
        <v>8300</v>
      </c>
      <c r="Y765" s="4">
        <v>108</v>
      </c>
      <c r="Z765" s="4">
        <v>101</v>
      </c>
      <c r="AA765" s="4">
        <v>112</v>
      </c>
      <c r="AB765" s="4">
        <v>1</v>
      </c>
      <c r="AC765" s="4">
        <v>1</v>
      </c>
      <c r="AD765" s="4">
        <v>2</v>
      </c>
      <c r="AE765" s="4">
        <v>2</v>
      </c>
      <c r="AF765" s="4">
        <v>1</v>
      </c>
      <c r="AG765" s="4">
        <v>1</v>
      </c>
      <c r="AH765" s="4">
        <v>0</v>
      </c>
      <c r="AI765" s="4">
        <v>0</v>
      </c>
      <c r="AJ765" s="4">
        <v>1</v>
      </c>
      <c r="AK765" s="4">
        <v>1</v>
      </c>
      <c r="AL765" s="4">
        <v>0</v>
      </c>
      <c r="AM765" s="4">
        <v>0</v>
      </c>
      <c r="AN765" s="4">
        <v>0</v>
      </c>
      <c r="AO765" s="4">
        <v>0</v>
      </c>
      <c r="AP765" s="3" t="s">
        <v>61</v>
      </c>
      <c r="AQ765" s="3" t="s">
        <v>61</v>
      </c>
      <c r="AS765" s="6" t="str">
        <f>HYPERLINK("https://creighton-primo.hosted.exlibrisgroup.com/primo-explore/search?tab=default_tab&amp;search_scope=EVERYTHING&amp;vid=01CRU&amp;lang=en_US&amp;offset=0&amp;query=any,contains,991002937399702656","Catalog Record")</f>
        <v>Catalog Record</v>
      </c>
      <c r="AT765" s="6" t="str">
        <f>HYPERLINK("http://www.worldcat.org/oclc/533781","WorldCat Record")</f>
        <v>WorldCat Record</v>
      </c>
      <c r="AU765" s="3" t="s">
        <v>8301</v>
      </c>
      <c r="AV765" s="3" t="s">
        <v>8302</v>
      </c>
      <c r="AW765" s="3" t="s">
        <v>8303</v>
      </c>
      <c r="AX765" s="3" t="s">
        <v>8303</v>
      </c>
      <c r="AY765" s="3" t="s">
        <v>8304</v>
      </c>
      <c r="AZ765" s="3" t="s">
        <v>75</v>
      </c>
      <c r="BC765" s="3" t="s">
        <v>8305</v>
      </c>
      <c r="BD765" s="3" t="s">
        <v>8306</v>
      </c>
    </row>
    <row r="766" spans="1:56" ht="44.25" customHeight="1" x14ac:dyDescent="0.25">
      <c r="A766" s="7" t="s">
        <v>61</v>
      </c>
      <c r="B766" s="2" t="s">
        <v>8307</v>
      </c>
      <c r="C766" s="2" t="s">
        <v>8308</v>
      </c>
      <c r="D766" s="2" t="s">
        <v>8309</v>
      </c>
      <c r="F766" s="3" t="s">
        <v>61</v>
      </c>
      <c r="G766" s="3" t="s">
        <v>60</v>
      </c>
      <c r="H766" s="3" t="s">
        <v>61</v>
      </c>
      <c r="I766" s="3" t="s">
        <v>61</v>
      </c>
      <c r="J766" s="3" t="s">
        <v>62</v>
      </c>
      <c r="K766" s="2" t="s">
        <v>8310</v>
      </c>
      <c r="L766" s="2" t="s">
        <v>8311</v>
      </c>
      <c r="M766" s="3" t="s">
        <v>113</v>
      </c>
      <c r="O766" s="3" t="s">
        <v>114</v>
      </c>
      <c r="P766" s="3" t="s">
        <v>235</v>
      </c>
      <c r="R766" s="3" t="s">
        <v>68</v>
      </c>
      <c r="S766" s="4">
        <v>5</v>
      </c>
      <c r="T766" s="4">
        <v>5</v>
      </c>
      <c r="U766" s="5" t="s">
        <v>1830</v>
      </c>
      <c r="V766" s="5" t="s">
        <v>1830</v>
      </c>
      <c r="W766" s="5" t="s">
        <v>8312</v>
      </c>
      <c r="X766" s="5" t="s">
        <v>8312</v>
      </c>
      <c r="Y766" s="4">
        <v>2481</v>
      </c>
      <c r="Z766" s="4">
        <v>2399</v>
      </c>
      <c r="AA766" s="4">
        <v>2564</v>
      </c>
      <c r="AB766" s="4">
        <v>26</v>
      </c>
      <c r="AC766" s="4">
        <v>27</v>
      </c>
      <c r="AD766" s="4">
        <v>43</v>
      </c>
      <c r="AE766" s="4">
        <v>45</v>
      </c>
      <c r="AF766" s="4">
        <v>17</v>
      </c>
      <c r="AG766" s="4">
        <v>17</v>
      </c>
      <c r="AH766" s="4">
        <v>8</v>
      </c>
      <c r="AI766" s="4">
        <v>9</v>
      </c>
      <c r="AJ766" s="4">
        <v>18</v>
      </c>
      <c r="AK766" s="4">
        <v>18</v>
      </c>
      <c r="AL766" s="4">
        <v>11</v>
      </c>
      <c r="AM766" s="4">
        <v>12</v>
      </c>
      <c r="AN766" s="4">
        <v>0</v>
      </c>
      <c r="AO766" s="4">
        <v>0</v>
      </c>
      <c r="AP766" s="3" t="s">
        <v>61</v>
      </c>
      <c r="AQ766" s="3" t="s">
        <v>59</v>
      </c>
      <c r="AR766" s="6" t="str">
        <f>HYPERLINK("http://catalog.hathitrust.org/Record/000002802","HathiTrust Record")</f>
        <v>HathiTrust Record</v>
      </c>
      <c r="AS766" s="6" t="str">
        <f>HYPERLINK("https://creighton-primo.hosted.exlibrisgroup.com/primo-explore/search?tab=default_tab&amp;search_scope=EVERYTHING&amp;vid=01CRU&amp;lang=en_US&amp;offset=0&amp;query=any,contains,991001209349702656","Catalog Record")</f>
        <v>Catalog Record</v>
      </c>
      <c r="AT766" s="6" t="str">
        <f>HYPERLINK("http://www.worldcat.org/oclc/192871","WorldCat Record")</f>
        <v>WorldCat Record</v>
      </c>
      <c r="AU766" s="3" t="s">
        <v>8313</v>
      </c>
      <c r="AV766" s="3" t="s">
        <v>8314</v>
      </c>
      <c r="AW766" s="3" t="s">
        <v>8315</v>
      </c>
      <c r="AX766" s="3" t="s">
        <v>8315</v>
      </c>
      <c r="AY766" s="3" t="s">
        <v>8316</v>
      </c>
      <c r="AZ766" s="3" t="s">
        <v>75</v>
      </c>
      <c r="BC766" s="3" t="s">
        <v>8317</v>
      </c>
      <c r="BD766" s="3" t="s">
        <v>8318</v>
      </c>
    </row>
    <row r="767" spans="1:56" ht="44.25" customHeight="1" x14ac:dyDescent="0.25">
      <c r="A767" s="7" t="s">
        <v>61</v>
      </c>
      <c r="B767" s="2" t="s">
        <v>8319</v>
      </c>
      <c r="C767" s="2" t="s">
        <v>8320</v>
      </c>
      <c r="D767" s="2" t="s">
        <v>8321</v>
      </c>
      <c r="F767" s="3" t="s">
        <v>61</v>
      </c>
      <c r="G767" s="3" t="s">
        <v>60</v>
      </c>
      <c r="H767" s="3" t="s">
        <v>61</v>
      </c>
      <c r="I767" s="3" t="s">
        <v>61</v>
      </c>
      <c r="J767" s="3" t="s">
        <v>62</v>
      </c>
      <c r="L767" s="2" t="s">
        <v>8322</v>
      </c>
      <c r="M767" s="3" t="s">
        <v>2391</v>
      </c>
      <c r="N767" s="2" t="s">
        <v>634</v>
      </c>
      <c r="O767" s="3" t="s">
        <v>114</v>
      </c>
      <c r="P767" s="3" t="s">
        <v>115</v>
      </c>
      <c r="R767" s="3" t="s">
        <v>68</v>
      </c>
      <c r="S767" s="4">
        <v>12</v>
      </c>
      <c r="T767" s="4">
        <v>12</v>
      </c>
      <c r="U767" s="5" t="s">
        <v>8323</v>
      </c>
      <c r="V767" s="5" t="s">
        <v>8323</v>
      </c>
      <c r="W767" s="5" t="s">
        <v>7182</v>
      </c>
      <c r="X767" s="5" t="s">
        <v>7182</v>
      </c>
      <c r="Y767" s="4">
        <v>1014</v>
      </c>
      <c r="Z767" s="4">
        <v>980</v>
      </c>
      <c r="AA767" s="4">
        <v>1056</v>
      </c>
      <c r="AB767" s="4">
        <v>15</v>
      </c>
      <c r="AC767" s="4">
        <v>16</v>
      </c>
      <c r="AD767" s="4">
        <v>12</v>
      </c>
      <c r="AE767" s="4">
        <v>13</v>
      </c>
      <c r="AF767" s="4">
        <v>6</v>
      </c>
      <c r="AG767" s="4">
        <v>7</v>
      </c>
      <c r="AH767" s="4">
        <v>1</v>
      </c>
      <c r="AI767" s="4">
        <v>1</v>
      </c>
      <c r="AJ767" s="4">
        <v>4</v>
      </c>
      <c r="AK767" s="4">
        <v>4</v>
      </c>
      <c r="AL767" s="4">
        <v>3</v>
      </c>
      <c r="AM767" s="4">
        <v>3</v>
      </c>
      <c r="AN767" s="4">
        <v>0</v>
      </c>
      <c r="AO767" s="4">
        <v>0</v>
      </c>
      <c r="AP767" s="3" t="s">
        <v>61</v>
      </c>
      <c r="AQ767" s="3" t="s">
        <v>61</v>
      </c>
      <c r="AS767" s="6" t="str">
        <f>HYPERLINK("https://creighton-primo.hosted.exlibrisgroup.com/primo-explore/search?tab=default_tab&amp;search_scope=EVERYTHING&amp;vid=01CRU&amp;lang=en_US&amp;offset=0&amp;query=any,contains,991003720059702656","Catalog Record")</f>
        <v>Catalog Record</v>
      </c>
      <c r="AT767" s="6" t="str">
        <f>HYPERLINK("http://www.worldcat.org/oclc/49775221","WorldCat Record")</f>
        <v>WorldCat Record</v>
      </c>
      <c r="AU767" s="3" t="s">
        <v>8324</v>
      </c>
      <c r="AV767" s="3" t="s">
        <v>8325</v>
      </c>
      <c r="AW767" s="3" t="s">
        <v>8326</v>
      </c>
      <c r="AX767" s="3" t="s">
        <v>8326</v>
      </c>
      <c r="AY767" s="3" t="s">
        <v>8327</v>
      </c>
      <c r="AZ767" s="3" t="s">
        <v>75</v>
      </c>
      <c r="BB767" s="3" t="s">
        <v>8328</v>
      </c>
      <c r="BC767" s="3" t="s">
        <v>8329</v>
      </c>
      <c r="BD767" s="3" t="s">
        <v>8330</v>
      </c>
    </row>
    <row r="768" spans="1:56" ht="44.25" customHeight="1" x14ac:dyDescent="0.25">
      <c r="A768" s="7" t="s">
        <v>61</v>
      </c>
      <c r="B768" s="2" t="s">
        <v>8331</v>
      </c>
      <c r="C768" s="2" t="s">
        <v>8332</v>
      </c>
      <c r="D768" s="2" t="s">
        <v>8333</v>
      </c>
      <c r="F768" s="3" t="s">
        <v>61</v>
      </c>
      <c r="G768" s="3" t="s">
        <v>60</v>
      </c>
      <c r="H768" s="3" t="s">
        <v>61</v>
      </c>
      <c r="I768" s="3" t="s">
        <v>61</v>
      </c>
      <c r="J768" s="3" t="s">
        <v>62</v>
      </c>
      <c r="K768" s="2" t="s">
        <v>8334</v>
      </c>
      <c r="L768" s="2" t="s">
        <v>8335</v>
      </c>
      <c r="M768" s="3" t="s">
        <v>552</v>
      </c>
      <c r="O768" s="3" t="s">
        <v>114</v>
      </c>
      <c r="P768" s="3" t="s">
        <v>6440</v>
      </c>
      <c r="R768" s="3" t="s">
        <v>68</v>
      </c>
      <c r="S768" s="4">
        <v>2</v>
      </c>
      <c r="T768" s="4">
        <v>2</v>
      </c>
      <c r="U768" s="5" t="s">
        <v>8336</v>
      </c>
      <c r="V768" s="5" t="s">
        <v>8336</v>
      </c>
      <c r="W768" s="5" t="s">
        <v>8337</v>
      </c>
      <c r="X768" s="5" t="s">
        <v>8337</v>
      </c>
      <c r="Y768" s="4">
        <v>295</v>
      </c>
      <c r="Z768" s="4">
        <v>225</v>
      </c>
      <c r="AA768" s="4">
        <v>231</v>
      </c>
      <c r="AB768" s="4">
        <v>3</v>
      </c>
      <c r="AC768" s="4">
        <v>3</v>
      </c>
      <c r="AD768" s="4">
        <v>12</v>
      </c>
      <c r="AE768" s="4">
        <v>12</v>
      </c>
      <c r="AF768" s="4">
        <v>5</v>
      </c>
      <c r="AG768" s="4">
        <v>5</v>
      </c>
      <c r="AH768" s="4">
        <v>3</v>
      </c>
      <c r="AI768" s="4">
        <v>3</v>
      </c>
      <c r="AJ768" s="4">
        <v>5</v>
      </c>
      <c r="AK768" s="4">
        <v>5</v>
      </c>
      <c r="AL768" s="4">
        <v>2</v>
      </c>
      <c r="AM768" s="4">
        <v>2</v>
      </c>
      <c r="AN768" s="4">
        <v>0</v>
      </c>
      <c r="AO768" s="4">
        <v>0</v>
      </c>
      <c r="AP768" s="3" t="s">
        <v>61</v>
      </c>
      <c r="AQ768" s="3" t="s">
        <v>61</v>
      </c>
      <c r="AS768" s="6" t="str">
        <f>HYPERLINK("https://creighton-primo.hosted.exlibrisgroup.com/primo-explore/search?tab=default_tab&amp;search_scope=EVERYTHING&amp;vid=01CRU&amp;lang=en_US&amp;offset=0&amp;query=any,contains,991001184679702656","Catalog Record")</f>
        <v>Catalog Record</v>
      </c>
      <c r="AT768" s="6" t="str">
        <f>HYPERLINK("http://www.worldcat.org/oclc/17200894","WorldCat Record")</f>
        <v>WorldCat Record</v>
      </c>
      <c r="AU768" s="3" t="s">
        <v>8338</v>
      </c>
      <c r="AV768" s="3" t="s">
        <v>8339</v>
      </c>
      <c r="AW768" s="3" t="s">
        <v>8340</v>
      </c>
      <c r="AX768" s="3" t="s">
        <v>8340</v>
      </c>
      <c r="AY768" s="3" t="s">
        <v>8341</v>
      </c>
      <c r="AZ768" s="3" t="s">
        <v>75</v>
      </c>
      <c r="BB768" s="3" t="s">
        <v>8342</v>
      </c>
      <c r="BC768" s="3" t="s">
        <v>8343</v>
      </c>
      <c r="BD768" s="3" t="s">
        <v>8344</v>
      </c>
    </row>
    <row r="769" spans="1:56" ht="44.25" customHeight="1" x14ac:dyDescent="0.25">
      <c r="A769" s="7" t="s">
        <v>61</v>
      </c>
      <c r="B769" s="2" t="s">
        <v>8345</v>
      </c>
      <c r="C769" s="2" t="s">
        <v>8346</v>
      </c>
      <c r="D769" s="2" t="s">
        <v>8347</v>
      </c>
      <c r="F769" s="3" t="s">
        <v>61</v>
      </c>
      <c r="G769" s="3" t="s">
        <v>60</v>
      </c>
      <c r="H769" s="3" t="s">
        <v>61</v>
      </c>
      <c r="I769" s="3" t="s">
        <v>61</v>
      </c>
      <c r="J769" s="3" t="s">
        <v>62</v>
      </c>
      <c r="K769" s="2" t="s">
        <v>8220</v>
      </c>
      <c r="L769" s="2" t="s">
        <v>8348</v>
      </c>
      <c r="M769" s="3" t="s">
        <v>3279</v>
      </c>
      <c r="O769" s="3" t="s">
        <v>114</v>
      </c>
      <c r="P769" s="3" t="s">
        <v>192</v>
      </c>
      <c r="R769" s="3" t="s">
        <v>68</v>
      </c>
      <c r="S769" s="4">
        <v>1</v>
      </c>
      <c r="T769" s="4">
        <v>1</v>
      </c>
      <c r="U769" s="5" t="s">
        <v>6139</v>
      </c>
      <c r="V769" s="5" t="s">
        <v>6139</v>
      </c>
      <c r="W769" s="5" t="s">
        <v>8349</v>
      </c>
      <c r="X769" s="5" t="s">
        <v>8349</v>
      </c>
      <c r="Y769" s="4">
        <v>162</v>
      </c>
      <c r="Z769" s="4">
        <v>61</v>
      </c>
      <c r="AA769" s="4">
        <v>89</v>
      </c>
      <c r="AB769" s="4">
        <v>3</v>
      </c>
      <c r="AC769" s="4">
        <v>3</v>
      </c>
      <c r="AD769" s="4">
        <v>3</v>
      </c>
      <c r="AE769" s="4">
        <v>4</v>
      </c>
      <c r="AF769" s="4">
        <v>0</v>
      </c>
      <c r="AG769" s="4">
        <v>0</v>
      </c>
      <c r="AH769" s="4">
        <v>0</v>
      </c>
      <c r="AI769" s="4">
        <v>1</v>
      </c>
      <c r="AJ769" s="4">
        <v>1</v>
      </c>
      <c r="AK769" s="4">
        <v>2</v>
      </c>
      <c r="AL769" s="4">
        <v>2</v>
      </c>
      <c r="AM769" s="4">
        <v>2</v>
      </c>
      <c r="AN769" s="4">
        <v>0</v>
      </c>
      <c r="AO769" s="4">
        <v>0</v>
      </c>
      <c r="AP769" s="3" t="s">
        <v>61</v>
      </c>
      <c r="AQ769" s="3" t="s">
        <v>59</v>
      </c>
      <c r="AR769" s="6" t="str">
        <f>HYPERLINK("http://catalog.hathitrust.org/Record/000446589","HathiTrust Record")</f>
        <v>HathiTrust Record</v>
      </c>
      <c r="AS769" s="6" t="str">
        <f>HYPERLINK("https://creighton-primo.hosted.exlibrisgroup.com/primo-explore/search?tab=default_tab&amp;search_scope=EVERYTHING&amp;vid=01CRU&amp;lang=en_US&amp;offset=0&amp;query=any,contains,991003067059702656","Catalog Record")</f>
        <v>Catalog Record</v>
      </c>
      <c r="AT769" s="6" t="str">
        <f>HYPERLINK("http://www.worldcat.org/oclc/622835","WorldCat Record")</f>
        <v>WorldCat Record</v>
      </c>
      <c r="AU769" s="3" t="s">
        <v>8350</v>
      </c>
      <c r="AV769" s="3" t="s">
        <v>8351</v>
      </c>
      <c r="AW769" s="3" t="s">
        <v>8352</v>
      </c>
      <c r="AX769" s="3" t="s">
        <v>8352</v>
      </c>
      <c r="AY769" s="3" t="s">
        <v>8353</v>
      </c>
      <c r="AZ769" s="3" t="s">
        <v>75</v>
      </c>
      <c r="BB769" s="3" t="s">
        <v>8354</v>
      </c>
      <c r="BC769" s="3" t="s">
        <v>8355</v>
      </c>
      <c r="BD769" s="3" t="s">
        <v>8356</v>
      </c>
    </row>
    <row r="770" spans="1:56" ht="44.25" customHeight="1" x14ac:dyDescent="0.25">
      <c r="A770" s="7" t="s">
        <v>61</v>
      </c>
      <c r="B770" s="2" t="s">
        <v>8357</v>
      </c>
      <c r="C770" s="2" t="s">
        <v>8358</v>
      </c>
      <c r="D770" s="2" t="s">
        <v>8359</v>
      </c>
      <c r="F770" s="3" t="s">
        <v>61</v>
      </c>
      <c r="G770" s="3" t="s">
        <v>60</v>
      </c>
      <c r="H770" s="3" t="s">
        <v>61</v>
      </c>
      <c r="I770" s="3" t="s">
        <v>61</v>
      </c>
      <c r="J770" s="3" t="s">
        <v>62</v>
      </c>
      <c r="L770" s="2" t="s">
        <v>8360</v>
      </c>
      <c r="M770" s="3" t="s">
        <v>2281</v>
      </c>
      <c r="O770" s="3" t="s">
        <v>114</v>
      </c>
      <c r="P770" s="3" t="s">
        <v>235</v>
      </c>
      <c r="R770" s="3" t="s">
        <v>68</v>
      </c>
      <c r="S770" s="4">
        <v>3</v>
      </c>
      <c r="T770" s="4">
        <v>3</v>
      </c>
      <c r="U770" s="5" t="s">
        <v>8361</v>
      </c>
      <c r="V770" s="5" t="s">
        <v>8361</v>
      </c>
      <c r="W770" s="5" t="s">
        <v>8349</v>
      </c>
      <c r="X770" s="5" t="s">
        <v>8349</v>
      </c>
      <c r="Y770" s="4">
        <v>212</v>
      </c>
      <c r="Z770" s="4">
        <v>178</v>
      </c>
      <c r="AA770" s="4">
        <v>179</v>
      </c>
      <c r="AB770" s="4">
        <v>3</v>
      </c>
      <c r="AC770" s="4">
        <v>3</v>
      </c>
      <c r="AD770" s="4">
        <v>7</v>
      </c>
      <c r="AE770" s="4">
        <v>7</v>
      </c>
      <c r="AF770" s="4">
        <v>2</v>
      </c>
      <c r="AG770" s="4">
        <v>2</v>
      </c>
      <c r="AH770" s="4">
        <v>2</v>
      </c>
      <c r="AI770" s="4">
        <v>2</v>
      </c>
      <c r="AJ770" s="4">
        <v>2</v>
      </c>
      <c r="AK770" s="4">
        <v>2</v>
      </c>
      <c r="AL770" s="4">
        <v>2</v>
      </c>
      <c r="AM770" s="4">
        <v>2</v>
      </c>
      <c r="AN770" s="4">
        <v>0</v>
      </c>
      <c r="AO770" s="4">
        <v>0</v>
      </c>
      <c r="AP770" s="3" t="s">
        <v>61</v>
      </c>
      <c r="AQ770" s="3" t="s">
        <v>61</v>
      </c>
      <c r="AS770" s="6" t="str">
        <f>HYPERLINK("https://creighton-primo.hosted.exlibrisgroup.com/primo-explore/search?tab=default_tab&amp;search_scope=EVERYTHING&amp;vid=01CRU&amp;lang=en_US&amp;offset=0&amp;query=any,contains,991004403859702656","Catalog Record")</f>
        <v>Catalog Record</v>
      </c>
      <c r="AT770" s="6" t="str">
        <f>HYPERLINK("http://www.worldcat.org/oclc/3311977","WorldCat Record")</f>
        <v>WorldCat Record</v>
      </c>
      <c r="AU770" s="3" t="s">
        <v>8362</v>
      </c>
      <c r="AV770" s="3" t="s">
        <v>8363</v>
      </c>
      <c r="AW770" s="3" t="s">
        <v>8364</v>
      </c>
      <c r="AX770" s="3" t="s">
        <v>8364</v>
      </c>
      <c r="AY770" s="3" t="s">
        <v>8365</v>
      </c>
      <c r="AZ770" s="3" t="s">
        <v>75</v>
      </c>
      <c r="BB770" s="3" t="s">
        <v>8366</v>
      </c>
      <c r="BC770" s="3" t="s">
        <v>8367</v>
      </c>
      <c r="BD770" s="3" t="s">
        <v>8368</v>
      </c>
    </row>
    <row r="771" spans="1:56" ht="44.25" customHeight="1" x14ac:dyDescent="0.25">
      <c r="A771" s="7" t="s">
        <v>61</v>
      </c>
      <c r="B771" s="2" t="s">
        <v>8369</v>
      </c>
      <c r="C771" s="2" t="s">
        <v>8370</v>
      </c>
      <c r="D771" s="2" t="s">
        <v>8371</v>
      </c>
      <c r="E771" s="3" t="s">
        <v>141</v>
      </c>
      <c r="F771" s="3" t="s">
        <v>59</v>
      </c>
      <c r="G771" s="3" t="s">
        <v>60</v>
      </c>
      <c r="H771" s="3" t="s">
        <v>61</v>
      </c>
      <c r="I771" s="3" t="s">
        <v>61</v>
      </c>
      <c r="J771" s="3" t="s">
        <v>62</v>
      </c>
      <c r="K771" s="2" t="s">
        <v>8372</v>
      </c>
      <c r="L771" s="2" t="s">
        <v>8373</v>
      </c>
      <c r="M771" s="3" t="s">
        <v>1571</v>
      </c>
      <c r="O771" s="3" t="s">
        <v>114</v>
      </c>
      <c r="P771" s="3" t="s">
        <v>235</v>
      </c>
      <c r="R771" s="3" t="s">
        <v>68</v>
      </c>
      <c r="S771" s="4">
        <v>4</v>
      </c>
      <c r="T771" s="4">
        <v>4</v>
      </c>
      <c r="U771" s="5" t="s">
        <v>8374</v>
      </c>
      <c r="V771" s="5" t="s">
        <v>8374</v>
      </c>
      <c r="W771" s="5" t="s">
        <v>7196</v>
      </c>
      <c r="X771" s="5" t="s">
        <v>7196</v>
      </c>
      <c r="Y771" s="4">
        <v>733</v>
      </c>
      <c r="Z771" s="4">
        <v>682</v>
      </c>
      <c r="AA771" s="4">
        <v>703</v>
      </c>
      <c r="AB771" s="4">
        <v>6</v>
      </c>
      <c r="AC771" s="4">
        <v>6</v>
      </c>
      <c r="AD771" s="4">
        <v>9</v>
      </c>
      <c r="AE771" s="4">
        <v>9</v>
      </c>
      <c r="AF771" s="4">
        <v>3</v>
      </c>
      <c r="AG771" s="4">
        <v>3</v>
      </c>
      <c r="AH771" s="4">
        <v>0</v>
      </c>
      <c r="AI771" s="4">
        <v>0</v>
      </c>
      <c r="AJ771" s="4">
        <v>4</v>
      </c>
      <c r="AK771" s="4">
        <v>4</v>
      </c>
      <c r="AL771" s="4">
        <v>3</v>
      </c>
      <c r="AM771" s="4">
        <v>3</v>
      </c>
      <c r="AN771" s="4">
        <v>0</v>
      </c>
      <c r="AO771" s="4">
        <v>0</v>
      </c>
      <c r="AP771" s="3" t="s">
        <v>59</v>
      </c>
      <c r="AQ771" s="3" t="s">
        <v>59</v>
      </c>
      <c r="AR771" s="6" t="str">
        <f>HYPERLINK("http://catalog.hathitrust.org/Record/007919550","HathiTrust Record")</f>
        <v>HathiTrust Record</v>
      </c>
      <c r="AS771" s="6" t="str">
        <f>HYPERLINK("https://creighton-primo.hosted.exlibrisgroup.com/primo-explore/search?tab=default_tab&amp;search_scope=EVERYTHING&amp;vid=01CRU&amp;lang=en_US&amp;offset=0&amp;query=any,contains,991003428119702656","Catalog Record")</f>
        <v>Catalog Record</v>
      </c>
      <c r="AT771" s="6" t="str">
        <f>HYPERLINK("http://www.worldcat.org/oclc/964979","WorldCat Record")</f>
        <v>WorldCat Record</v>
      </c>
      <c r="AU771" s="3" t="s">
        <v>8375</v>
      </c>
      <c r="AV771" s="3" t="s">
        <v>8376</v>
      </c>
      <c r="AW771" s="3" t="s">
        <v>8377</v>
      </c>
      <c r="AX771" s="3" t="s">
        <v>8377</v>
      </c>
      <c r="AY771" s="3" t="s">
        <v>8378</v>
      </c>
      <c r="AZ771" s="3" t="s">
        <v>75</v>
      </c>
      <c r="BC771" s="3" t="s">
        <v>8379</v>
      </c>
      <c r="BD771" s="3" t="s">
        <v>8380</v>
      </c>
    </row>
    <row r="772" spans="1:56" ht="44.25" customHeight="1" x14ac:dyDescent="0.25">
      <c r="A772" s="7" t="s">
        <v>61</v>
      </c>
      <c r="B772" s="2" t="s">
        <v>8381</v>
      </c>
      <c r="C772" s="2" t="s">
        <v>8382</v>
      </c>
      <c r="D772" s="2" t="s">
        <v>8383</v>
      </c>
      <c r="F772" s="3" t="s">
        <v>61</v>
      </c>
      <c r="G772" s="3" t="s">
        <v>60</v>
      </c>
      <c r="H772" s="3" t="s">
        <v>61</v>
      </c>
      <c r="I772" s="3" t="s">
        <v>61</v>
      </c>
      <c r="J772" s="3" t="s">
        <v>62</v>
      </c>
      <c r="K772" s="2" t="s">
        <v>8384</v>
      </c>
      <c r="L772" s="2" t="s">
        <v>8385</v>
      </c>
      <c r="M772" s="3" t="s">
        <v>451</v>
      </c>
      <c r="O772" s="3" t="s">
        <v>114</v>
      </c>
      <c r="P772" s="3" t="s">
        <v>235</v>
      </c>
      <c r="R772" s="3" t="s">
        <v>68</v>
      </c>
      <c r="S772" s="4">
        <v>1</v>
      </c>
      <c r="T772" s="4">
        <v>1</v>
      </c>
      <c r="U772" s="5" t="s">
        <v>8386</v>
      </c>
      <c r="V772" s="5" t="s">
        <v>8386</v>
      </c>
      <c r="W772" s="5" t="s">
        <v>8387</v>
      </c>
      <c r="X772" s="5" t="s">
        <v>8387</v>
      </c>
      <c r="Y772" s="4">
        <v>800</v>
      </c>
      <c r="Z772" s="4">
        <v>753</v>
      </c>
      <c r="AA772" s="4">
        <v>785</v>
      </c>
      <c r="AB772" s="4">
        <v>9</v>
      </c>
      <c r="AC772" s="4">
        <v>10</v>
      </c>
      <c r="AD772" s="4">
        <v>28</v>
      </c>
      <c r="AE772" s="4">
        <v>29</v>
      </c>
      <c r="AF772" s="4">
        <v>9</v>
      </c>
      <c r="AG772" s="4">
        <v>10</v>
      </c>
      <c r="AH772" s="4">
        <v>9</v>
      </c>
      <c r="AI772" s="4">
        <v>10</v>
      </c>
      <c r="AJ772" s="4">
        <v>17</v>
      </c>
      <c r="AK772" s="4">
        <v>17</v>
      </c>
      <c r="AL772" s="4">
        <v>4</v>
      </c>
      <c r="AM772" s="4">
        <v>4</v>
      </c>
      <c r="AN772" s="4">
        <v>0</v>
      </c>
      <c r="AO772" s="4">
        <v>0</v>
      </c>
      <c r="AP772" s="3" t="s">
        <v>61</v>
      </c>
      <c r="AQ772" s="3" t="s">
        <v>59</v>
      </c>
      <c r="AR772" s="6" t="str">
        <f>HYPERLINK("http://catalog.hathitrust.org/Record/004064909","HathiTrust Record")</f>
        <v>HathiTrust Record</v>
      </c>
      <c r="AS772" s="6" t="str">
        <f>HYPERLINK("https://creighton-primo.hosted.exlibrisgroup.com/primo-explore/search?tab=default_tab&amp;search_scope=EVERYTHING&amp;vid=01CRU&amp;lang=en_US&amp;offset=0&amp;query=any,contains,991003036239702656","Catalog Record")</f>
        <v>Catalog Record</v>
      </c>
      <c r="AT772" s="6" t="str">
        <f>HYPERLINK("http://www.worldcat.org/oclc/41712129","WorldCat Record")</f>
        <v>WorldCat Record</v>
      </c>
      <c r="AU772" s="3" t="s">
        <v>8388</v>
      </c>
      <c r="AV772" s="3" t="s">
        <v>8389</v>
      </c>
      <c r="AW772" s="3" t="s">
        <v>8390</v>
      </c>
      <c r="AX772" s="3" t="s">
        <v>8390</v>
      </c>
      <c r="AY772" s="3" t="s">
        <v>8391</v>
      </c>
      <c r="AZ772" s="3" t="s">
        <v>75</v>
      </c>
      <c r="BB772" s="3" t="s">
        <v>8392</v>
      </c>
      <c r="BC772" s="3" t="s">
        <v>8393</v>
      </c>
      <c r="BD772" s="3" t="s">
        <v>8394</v>
      </c>
    </row>
    <row r="773" spans="1:56" ht="44.25" customHeight="1" x14ac:dyDescent="0.25">
      <c r="A773" s="7" t="s">
        <v>61</v>
      </c>
      <c r="B773" s="2" t="s">
        <v>8395</v>
      </c>
      <c r="C773" s="2" t="s">
        <v>8396</v>
      </c>
      <c r="D773" s="2" t="s">
        <v>8397</v>
      </c>
      <c r="F773" s="3" t="s">
        <v>61</v>
      </c>
      <c r="G773" s="3" t="s">
        <v>60</v>
      </c>
      <c r="H773" s="3" t="s">
        <v>61</v>
      </c>
      <c r="I773" s="3" t="s">
        <v>61</v>
      </c>
      <c r="J773" s="3" t="s">
        <v>62</v>
      </c>
      <c r="K773" s="2" t="s">
        <v>8398</v>
      </c>
      <c r="L773" s="2" t="s">
        <v>8399</v>
      </c>
      <c r="M773" s="3" t="s">
        <v>1870</v>
      </c>
      <c r="N773" s="2" t="s">
        <v>634</v>
      </c>
      <c r="O773" s="3" t="s">
        <v>114</v>
      </c>
      <c r="P773" s="3" t="s">
        <v>235</v>
      </c>
      <c r="R773" s="3" t="s">
        <v>68</v>
      </c>
      <c r="S773" s="4">
        <v>2</v>
      </c>
      <c r="T773" s="4">
        <v>2</v>
      </c>
      <c r="U773" s="5" t="s">
        <v>8400</v>
      </c>
      <c r="V773" s="5" t="s">
        <v>8400</v>
      </c>
      <c r="W773" s="5" t="s">
        <v>8079</v>
      </c>
      <c r="X773" s="5" t="s">
        <v>8079</v>
      </c>
      <c r="Y773" s="4">
        <v>920</v>
      </c>
      <c r="Z773" s="4">
        <v>812</v>
      </c>
      <c r="AA773" s="4">
        <v>1069</v>
      </c>
      <c r="AB773" s="4">
        <v>6</v>
      </c>
      <c r="AC773" s="4">
        <v>8</v>
      </c>
      <c r="AD773" s="4">
        <v>31</v>
      </c>
      <c r="AE773" s="4">
        <v>40</v>
      </c>
      <c r="AF773" s="4">
        <v>12</v>
      </c>
      <c r="AG773" s="4">
        <v>14</v>
      </c>
      <c r="AH773" s="4">
        <v>5</v>
      </c>
      <c r="AI773" s="4">
        <v>7</v>
      </c>
      <c r="AJ773" s="4">
        <v>15</v>
      </c>
      <c r="AK773" s="4">
        <v>18</v>
      </c>
      <c r="AL773" s="4">
        <v>5</v>
      </c>
      <c r="AM773" s="4">
        <v>7</v>
      </c>
      <c r="AN773" s="4">
        <v>1</v>
      </c>
      <c r="AO773" s="4">
        <v>2</v>
      </c>
      <c r="AP773" s="3" t="s">
        <v>61</v>
      </c>
      <c r="AQ773" s="3" t="s">
        <v>61</v>
      </c>
      <c r="AS773" s="6" t="str">
        <f>HYPERLINK("https://creighton-primo.hosted.exlibrisgroup.com/primo-explore/search?tab=default_tab&amp;search_scope=EVERYTHING&amp;vid=01CRU&amp;lang=en_US&amp;offset=0&amp;query=any,contains,991002260259702656","Catalog Record")</f>
        <v>Catalog Record</v>
      </c>
      <c r="AT773" s="6" t="str">
        <f>HYPERLINK("http://www.worldcat.org/oclc/29312473","WorldCat Record")</f>
        <v>WorldCat Record</v>
      </c>
      <c r="AU773" s="3" t="s">
        <v>8401</v>
      </c>
      <c r="AV773" s="3" t="s">
        <v>8402</v>
      </c>
      <c r="AW773" s="3" t="s">
        <v>8403</v>
      </c>
      <c r="AX773" s="3" t="s">
        <v>8403</v>
      </c>
      <c r="AY773" s="3" t="s">
        <v>8404</v>
      </c>
      <c r="AZ773" s="3" t="s">
        <v>75</v>
      </c>
      <c r="BC773" s="3" t="s">
        <v>8405</v>
      </c>
      <c r="BD773" s="3" t="s">
        <v>8406</v>
      </c>
    </row>
    <row r="774" spans="1:56" ht="44.25" customHeight="1" x14ac:dyDescent="0.25">
      <c r="A774" s="7" t="s">
        <v>61</v>
      </c>
      <c r="B774" s="2" t="s">
        <v>8407</v>
      </c>
      <c r="C774" s="2" t="s">
        <v>8408</v>
      </c>
      <c r="D774" s="2" t="s">
        <v>8409</v>
      </c>
      <c r="F774" s="3" t="s">
        <v>61</v>
      </c>
      <c r="G774" s="3" t="s">
        <v>60</v>
      </c>
      <c r="H774" s="3" t="s">
        <v>61</v>
      </c>
      <c r="I774" s="3" t="s">
        <v>61</v>
      </c>
      <c r="J774" s="3" t="s">
        <v>62</v>
      </c>
      <c r="K774" s="2" t="s">
        <v>8410</v>
      </c>
      <c r="L774" s="2" t="s">
        <v>8411</v>
      </c>
      <c r="M774" s="3" t="s">
        <v>552</v>
      </c>
      <c r="O774" s="3" t="s">
        <v>114</v>
      </c>
      <c r="P774" s="3" t="s">
        <v>619</v>
      </c>
      <c r="Q774" s="2" t="s">
        <v>8412</v>
      </c>
      <c r="R774" s="3" t="s">
        <v>68</v>
      </c>
      <c r="S774" s="4">
        <v>1</v>
      </c>
      <c r="T774" s="4">
        <v>1</v>
      </c>
      <c r="U774" s="5" t="s">
        <v>6815</v>
      </c>
      <c r="V774" s="5" t="s">
        <v>6815</v>
      </c>
      <c r="W774" s="5" t="s">
        <v>8413</v>
      </c>
      <c r="X774" s="5" t="s">
        <v>8413</v>
      </c>
      <c r="Y774" s="4">
        <v>86</v>
      </c>
      <c r="Z774" s="4">
        <v>83</v>
      </c>
      <c r="AA774" s="4">
        <v>83</v>
      </c>
      <c r="AB774" s="4">
        <v>1</v>
      </c>
      <c r="AC774" s="4">
        <v>1</v>
      </c>
      <c r="AD774" s="4">
        <v>12</v>
      </c>
      <c r="AE774" s="4">
        <v>12</v>
      </c>
      <c r="AF774" s="4">
        <v>4</v>
      </c>
      <c r="AG774" s="4">
        <v>4</v>
      </c>
      <c r="AH774" s="4">
        <v>2</v>
      </c>
      <c r="AI774" s="4">
        <v>2</v>
      </c>
      <c r="AJ774" s="4">
        <v>10</v>
      </c>
      <c r="AK774" s="4">
        <v>10</v>
      </c>
      <c r="AL774" s="4">
        <v>0</v>
      </c>
      <c r="AM774" s="4">
        <v>0</v>
      </c>
      <c r="AN774" s="4">
        <v>0</v>
      </c>
      <c r="AO774" s="4">
        <v>0</v>
      </c>
      <c r="AP774" s="3" t="s">
        <v>61</v>
      </c>
      <c r="AQ774" s="3" t="s">
        <v>61</v>
      </c>
      <c r="AS774" s="6" t="str">
        <f>HYPERLINK("https://creighton-primo.hosted.exlibrisgroup.com/primo-explore/search?tab=default_tab&amp;search_scope=EVERYTHING&amp;vid=01CRU&amp;lang=en_US&amp;offset=0&amp;query=any,contains,991001615599702656","Catalog Record")</f>
        <v>Catalog Record</v>
      </c>
      <c r="AT774" s="6" t="str">
        <f>HYPERLINK("http://www.worldcat.org/oclc/20767479","WorldCat Record")</f>
        <v>WorldCat Record</v>
      </c>
      <c r="AU774" s="3" t="s">
        <v>8414</v>
      </c>
      <c r="AV774" s="3" t="s">
        <v>8415</v>
      </c>
      <c r="AW774" s="3" t="s">
        <v>8416</v>
      </c>
      <c r="AX774" s="3" t="s">
        <v>8416</v>
      </c>
      <c r="AY774" s="3" t="s">
        <v>8417</v>
      </c>
      <c r="AZ774" s="3" t="s">
        <v>75</v>
      </c>
      <c r="BC774" s="3" t="s">
        <v>8418</v>
      </c>
      <c r="BD774" s="3" t="s">
        <v>8419</v>
      </c>
    </row>
    <row r="775" spans="1:56" ht="44.25" customHeight="1" x14ac:dyDescent="0.25">
      <c r="A775" s="7" t="s">
        <v>61</v>
      </c>
      <c r="B775" s="2" t="s">
        <v>8420</v>
      </c>
      <c r="C775" s="2" t="s">
        <v>8421</v>
      </c>
      <c r="D775" s="2" t="s">
        <v>8422</v>
      </c>
      <c r="F775" s="3" t="s">
        <v>61</v>
      </c>
      <c r="G775" s="3" t="s">
        <v>60</v>
      </c>
      <c r="H775" s="3" t="s">
        <v>61</v>
      </c>
      <c r="I775" s="3" t="s">
        <v>61</v>
      </c>
      <c r="J775" s="3" t="s">
        <v>62</v>
      </c>
      <c r="K775" s="2" t="s">
        <v>8423</v>
      </c>
      <c r="L775" s="2" t="s">
        <v>8424</v>
      </c>
      <c r="M775" s="3" t="s">
        <v>5326</v>
      </c>
      <c r="O775" s="3" t="s">
        <v>114</v>
      </c>
      <c r="P775" s="3" t="s">
        <v>115</v>
      </c>
      <c r="R775" s="3" t="s">
        <v>68</v>
      </c>
      <c r="S775" s="4">
        <v>1</v>
      </c>
      <c r="T775" s="4">
        <v>1</v>
      </c>
      <c r="U775" s="5" t="s">
        <v>7411</v>
      </c>
      <c r="V775" s="5" t="s">
        <v>7411</v>
      </c>
      <c r="W775" s="5" t="s">
        <v>7196</v>
      </c>
      <c r="X775" s="5" t="s">
        <v>7196</v>
      </c>
      <c r="Y775" s="4">
        <v>300</v>
      </c>
      <c r="Z775" s="4">
        <v>281</v>
      </c>
      <c r="AA775" s="4">
        <v>303</v>
      </c>
      <c r="AB775" s="4">
        <v>3</v>
      </c>
      <c r="AC775" s="4">
        <v>3</v>
      </c>
      <c r="AD775" s="4">
        <v>9</v>
      </c>
      <c r="AE775" s="4">
        <v>11</v>
      </c>
      <c r="AF775" s="4">
        <v>2</v>
      </c>
      <c r="AG775" s="4">
        <v>3</v>
      </c>
      <c r="AH775" s="4">
        <v>3</v>
      </c>
      <c r="AI775" s="4">
        <v>4</v>
      </c>
      <c r="AJ775" s="4">
        <v>4</v>
      </c>
      <c r="AK775" s="4">
        <v>5</v>
      </c>
      <c r="AL775" s="4">
        <v>2</v>
      </c>
      <c r="AM775" s="4">
        <v>2</v>
      </c>
      <c r="AN775" s="4">
        <v>0</v>
      </c>
      <c r="AO775" s="4">
        <v>0</v>
      </c>
      <c r="AP775" s="3" t="s">
        <v>61</v>
      </c>
      <c r="AQ775" s="3" t="s">
        <v>59</v>
      </c>
      <c r="AR775" s="6" t="str">
        <f>HYPERLINK("http://catalog.hathitrust.org/Record/000490718","HathiTrust Record")</f>
        <v>HathiTrust Record</v>
      </c>
      <c r="AS775" s="6" t="str">
        <f>HYPERLINK("https://creighton-primo.hosted.exlibrisgroup.com/primo-explore/search?tab=default_tab&amp;search_scope=EVERYTHING&amp;vid=01CRU&amp;lang=en_US&amp;offset=0&amp;query=any,contains,991003645839702656","Catalog Record")</f>
        <v>Catalog Record</v>
      </c>
      <c r="AT775" s="6" t="str">
        <f>HYPERLINK("http://www.worldcat.org/oclc/1246815","WorldCat Record")</f>
        <v>WorldCat Record</v>
      </c>
      <c r="AU775" s="3" t="s">
        <v>8425</v>
      </c>
      <c r="AV775" s="3" t="s">
        <v>8426</v>
      </c>
      <c r="AW775" s="3" t="s">
        <v>8427</v>
      </c>
      <c r="AX775" s="3" t="s">
        <v>8427</v>
      </c>
      <c r="AY775" s="3" t="s">
        <v>8428</v>
      </c>
      <c r="AZ775" s="3" t="s">
        <v>75</v>
      </c>
      <c r="BC775" s="3" t="s">
        <v>8429</v>
      </c>
      <c r="BD775" s="3" t="s">
        <v>8430</v>
      </c>
    </row>
    <row r="776" spans="1:56" ht="44.25" customHeight="1" x14ac:dyDescent="0.25">
      <c r="A776" s="7" t="s">
        <v>61</v>
      </c>
      <c r="B776" s="2" t="s">
        <v>8431</v>
      </c>
      <c r="C776" s="2" t="s">
        <v>8432</v>
      </c>
      <c r="D776" s="2" t="s">
        <v>8433</v>
      </c>
      <c r="F776" s="3" t="s">
        <v>61</v>
      </c>
      <c r="G776" s="3" t="s">
        <v>60</v>
      </c>
      <c r="H776" s="3" t="s">
        <v>61</v>
      </c>
      <c r="I776" s="3" t="s">
        <v>61</v>
      </c>
      <c r="J776" s="3" t="s">
        <v>62</v>
      </c>
      <c r="K776" s="2" t="s">
        <v>8434</v>
      </c>
      <c r="L776" s="2" t="s">
        <v>8435</v>
      </c>
      <c r="M776" s="3" t="s">
        <v>234</v>
      </c>
      <c r="O776" s="3" t="s">
        <v>114</v>
      </c>
      <c r="P776" s="3" t="s">
        <v>437</v>
      </c>
      <c r="R776" s="3" t="s">
        <v>68</v>
      </c>
      <c r="S776" s="4">
        <v>2</v>
      </c>
      <c r="T776" s="4">
        <v>2</v>
      </c>
      <c r="U776" s="5" t="s">
        <v>8436</v>
      </c>
      <c r="V776" s="5" t="s">
        <v>8436</v>
      </c>
      <c r="W776" s="5" t="s">
        <v>8437</v>
      </c>
      <c r="X776" s="5" t="s">
        <v>8437</v>
      </c>
      <c r="Y776" s="4">
        <v>409</v>
      </c>
      <c r="Z776" s="4">
        <v>395</v>
      </c>
      <c r="AA776" s="4">
        <v>662</v>
      </c>
      <c r="AB776" s="4">
        <v>3</v>
      </c>
      <c r="AC776" s="4">
        <v>4</v>
      </c>
      <c r="AD776" s="4">
        <v>6</v>
      </c>
      <c r="AE776" s="4">
        <v>12</v>
      </c>
      <c r="AF776" s="4">
        <v>3</v>
      </c>
      <c r="AG776" s="4">
        <v>5</v>
      </c>
      <c r="AH776" s="4">
        <v>1</v>
      </c>
      <c r="AI776" s="4">
        <v>4</v>
      </c>
      <c r="AJ776" s="4">
        <v>3</v>
      </c>
      <c r="AK776" s="4">
        <v>6</v>
      </c>
      <c r="AL776" s="4">
        <v>1</v>
      </c>
      <c r="AM776" s="4">
        <v>1</v>
      </c>
      <c r="AN776" s="4">
        <v>0</v>
      </c>
      <c r="AO776" s="4">
        <v>0</v>
      </c>
      <c r="AP776" s="3" t="s">
        <v>61</v>
      </c>
      <c r="AQ776" s="3" t="s">
        <v>61</v>
      </c>
      <c r="AS776" s="6" t="str">
        <f>HYPERLINK("https://creighton-primo.hosted.exlibrisgroup.com/primo-explore/search?tab=default_tab&amp;search_scope=EVERYTHING&amp;vid=01CRU&amp;lang=en_US&amp;offset=0&amp;query=any,contains,991000127389702656","Catalog Record")</f>
        <v>Catalog Record</v>
      </c>
      <c r="AT776" s="6" t="str">
        <f>HYPERLINK("http://www.worldcat.org/oclc/9084545","WorldCat Record")</f>
        <v>WorldCat Record</v>
      </c>
      <c r="AU776" s="3" t="s">
        <v>8438</v>
      </c>
      <c r="AV776" s="3" t="s">
        <v>8439</v>
      </c>
      <c r="AW776" s="3" t="s">
        <v>8440</v>
      </c>
      <c r="AX776" s="3" t="s">
        <v>8440</v>
      </c>
      <c r="AY776" s="3" t="s">
        <v>8441</v>
      </c>
      <c r="AZ776" s="3" t="s">
        <v>75</v>
      </c>
      <c r="BB776" s="3" t="s">
        <v>8442</v>
      </c>
      <c r="BC776" s="3" t="s">
        <v>8443</v>
      </c>
      <c r="BD776" s="3" t="s">
        <v>8444</v>
      </c>
    </row>
    <row r="777" spans="1:56" ht="44.25" customHeight="1" x14ac:dyDescent="0.25">
      <c r="A777" s="7" t="s">
        <v>61</v>
      </c>
      <c r="B777" s="2" t="s">
        <v>8445</v>
      </c>
      <c r="C777" s="2" t="s">
        <v>8446</v>
      </c>
      <c r="D777" s="2" t="s">
        <v>8447</v>
      </c>
      <c r="F777" s="3" t="s">
        <v>61</v>
      </c>
      <c r="G777" s="3" t="s">
        <v>60</v>
      </c>
      <c r="H777" s="3" t="s">
        <v>61</v>
      </c>
      <c r="I777" s="3" t="s">
        <v>61</v>
      </c>
      <c r="J777" s="3" t="s">
        <v>62</v>
      </c>
      <c r="K777" s="2" t="s">
        <v>8448</v>
      </c>
      <c r="L777" s="2" t="s">
        <v>8449</v>
      </c>
      <c r="M777" s="3" t="s">
        <v>451</v>
      </c>
      <c r="O777" s="3" t="s">
        <v>114</v>
      </c>
      <c r="P777" s="3" t="s">
        <v>364</v>
      </c>
      <c r="R777" s="3" t="s">
        <v>68</v>
      </c>
      <c r="S777" s="4">
        <v>2</v>
      </c>
      <c r="T777" s="4">
        <v>2</v>
      </c>
      <c r="U777" s="5" t="s">
        <v>8450</v>
      </c>
      <c r="V777" s="5" t="s">
        <v>8450</v>
      </c>
      <c r="W777" s="5" t="s">
        <v>8451</v>
      </c>
      <c r="X777" s="5" t="s">
        <v>8451</v>
      </c>
      <c r="Y777" s="4">
        <v>771</v>
      </c>
      <c r="Z777" s="4">
        <v>657</v>
      </c>
      <c r="AA777" s="4">
        <v>679</v>
      </c>
      <c r="AB777" s="4">
        <v>4</v>
      </c>
      <c r="AC777" s="4">
        <v>4</v>
      </c>
      <c r="AD777" s="4">
        <v>23</v>
      </c>
      <c r="AE777" s="4">
        <v>24</v>
      </c>
      <c r="AF777" s="4">
        <v>9</v>
      </c>
      <c r="AG777" s="4">
        <v>10</v>
      </c>
      <c r="AH777" s="4">
        <v>5</v>
      </c>
      <c r="AI777" s="4">
        <v>6</v>
      </c>
      <c r="AJ777" s="4">
        <v>14</v>
      </c>
      <c r="AK777" s="4">
        <v>14</v>
      </c>
      <c r="AL777" s="4">
        <v>2</v>
      </c>
      <c r="AM777" s="4">
        <v>2</v>
      </c>
      <c r="AN777" s="4">
        <v>0</v>
      </c>
      <c r="AO777" s="4">
        <v>0</v>
      </c>
      <c r="AP777" s="3" t="s">
        <v>61</v>
      </c>
      <c r="AQ777" s="3" t="s">
        <v>59</v>
      </c>
      <c r="AR777" s="6" t="str">
        <f>HYPERLINK("http://catalog.hathitrust.org/Record/004580167","HathiTrust Record")</f>
        <v>HathiTrust Record</v>
      </c>
      <c r="AS777" s="6" t="str">
        <f>HYPERLINK("https://creighton-primo.hosted.exlibrisgroup.com/primo-explore/search?tab=default_tab&amp;search_scope=EVERYTHING&amp;vid=01CRU&amp;lang=en_US&amp;offset=0&amp;query=any,contains,991003014279702656","Catalog Record")</f>
        <v>Catalog Record</v>
      </c>
      <c r="AT777" s="6" t="str">
        <f>HYPERLINK("http://www.worldcat.org/oclc/40964966","WorldCat Record")</f>
        <v>WorldCat Record</v>
      </c>
      <c r="AU777" s="3" t="s">
        <v>8452</v>
      </c>
      <c r="AV777" s="3" t="s">
        <v>8453</v>
      </c>
      <c r="AW777" s="3" t="s">
        <v>8454</v>
      </c>
      <c r="AX777" s="3" t="s">
        <v>8454</v>
      </c>
      <c r="AY777" s="3" t="s">
        <v>8455</v>
      </c>
      <c r="AZ777" s="3" t="s">
        <v>75</v>
      </c>
      <c r="BB777" s="3" t="s">
        <v>8456</v>
      </c>
      <c r="BC777" s="3" t="s">
        <v>8457</v>
      </c>
      <c r="BD777" s="3" t="s">
        <v>8458</v>
      </c>
    </row>
    <row r="778" spans="1:56" ht="44.25" customHeight="1" x14ac:dyDescent="0.25">
      <c r="A778" s="7" t="s">
        <v>61</v>
      </c>
      <c r="B778" s="2" t="s">
        <v>8459</v>
      </c>
      <c r="C778" s="2" t="s">
        <v>8460</v>
      </c>
      <c r="D778" s="2" t="s">
        <v>8461</v>
      </c>
      <c r="F778" s="3" t="s">
        <v>61</v>
      </c>
      <c r="G778" s="3" t="s">
        <v>60</v>
      </c>
      <c r="H778" s="3" t="s">
        <v>61</v>
      </c>
      <c r="I778" s="3" t="s">
        <v>61</v>
      </c>
      <c r="J778" s="3" t="s">
        <v>62</v>
      </c>
      <c r="K778" s="2" t="s">
        <v>8462</v>
      </c>
      <c r="L778" s="2" t="s">
        <v>8463</v>
      </c>
      <c r="M778" s="3" t="s">
        <v>263</v>
      </c>
      <c r="N778" s="2" t="s">
        <v>634</v>
      </c>
      <c r="O778" s="3" t="s">
        <v>114</v>
      </c>
      <c r="P778" s="3" t="s">
        <v>235</v>
      </c>
      <c r="R778" s="3" t="s">
        <v>68</v>
      </c>
      <c r="S778" s="4">
        <v>5</v>
      </c>
      <c r="T778" s="4">
        <v>5</v>
      </c>
      <c r="U778" s="5" t="s">
        <v>8464</v>
      </c>
      <c r="V778" s="5" t="s">
        <v>8464</v>
      </c>
      <c r="W778" s="5" t="s">
        <v>6867</v>
      </c>
      <c r="X778" s="5" t="s">
        <v>6867</v>
      </c>
      <c r="Y778" s="4">
        <v>1070</v>
      </c>
      <c r="Z778" s="4">
        <v>1005</v>
      </c>
      <c r="AA778" s="4">
        <v>1065</v>
      </c>
      <c r="AB778" s="4">
        <v>7</v>
      </c>
      <c r="AC778" s="4">
        <v>7</v>
      </c>
      <c r="AD778" s="4">
        <v>23</v>
      </c>
      <c r="AE778" s="4">
        <v>23</v>
      </c>
      <c r="AF778" s="4">
        <v>9</v>
      </c>
      <c r="AG778" s="4">
        <v>9</v>
      </c>
      <c r="AH778" s="4">
        <v>6</v>
      </c>
      <c r="AI778" s="4">
        <v>6</v>
      </c>
      <c r="AJ778" s="4">
        <v>11</v>
      </c>
      <c r="AK778" s="4">
        <v>11</v>
      </c>
      <c r="AL778" s="4">
        <v>4</v>
      </c>
      <c r="AM778" s="4">
        <v>4</v>
      </c>
      <c r="AN778" s="4">
        <v>0</v>
      </c>
      <c r="AO778" s="4">
        <v>0</v>
      </c>
      <c r="AP778" s="3" t="s">
        <v>61</v>
      </c>
      <c r="AQ778" s="3" t="s">
        <v>59</v>
      </c>
      <c r="AR778" s="6" t="str">
        <f>HYPERLINK("http://catalog.hathitrust.org/Record/000763501","HathiTrust Record")</f>
        <v>HathiTrust Record</v>
      </c>
      <c r="AS778" s="6" t="str">
        <f>HYPERLINK("https://creighton-primo.hosted.exlibrisgroup.com/primo-explore/search?tab=default_tab&amp;search_scope=EVERYTHING&amp;vid=01CRU&amp;lang=en_US&amp;offset=0&amp;query=any,contains,991005147929702656","Catalog Record")</f>
        <v>Catalog Record</v>
      </c>
      <c r="AT778" s="6" t="str">
        <f>HYPERLINK("http://www.worldcat.org/oclc/7672682","WorldCat Record")</f>
        <v>WorldCat Record</v>
      </c>
      <c r="AU778" s="3" t="s">
        <v>8465</v>
      </c>
      <c r="AV778" s="3" t="s">
        <v>8466</v>
      </c>
      <c r="AW778" s="3" t="s">
        <v>8467</v>
      </c>
      <c r="AX778" s="3" t="s">
        <v>8467</v>
      </c>
      <c r="AY778" s="3" t="s">
        <v>8468</v>
      </c>
      <c r="AZ778" s="3" t="s">
        <v>75</v>
      </c>
      <c r="BB778" s="3" t="s">
        <v>8469</v>
      </c>
      <c r="BC778" s="3" t="s">
        <v>8470</v>
      </c>
      <c r="BD778" s="3" t="s">
        <v>8471</v>
      </c>
    </row>
    <row r="779" spans="1:56" ht="44.25" customHeight="1" x14ac:dyDescent="0.25">
      <c r="A779" s="7" t="s">
        <v>61</v>
      </c>
      <c r="B779" s="2" t="s">
        <v>8472</v>
      </c>
      <c r="C779" s="2" t="s">
        <v>8473</v>
      </c>
      <c r="D779" s="2" t="s">
        <v>8474</v>
      </c>
      <c r="F779" s="3" t="s">
        <v>61</v>
      </c>
      <c r="G779" s="3" t="s">
        <v>60</v>
      </c>
      <c r="H779" s="3" t="s">
        <v>61</v>
      </c>
      <c r="I779" s="3" t="s">
        <v>61</v>
      </c>
      <c r="J779" s="3" t="s">
        <v>62</v>
      </c>
      <c r="K779" s="2" t="s">
        <v>8475</v>
      </c>
      <c r="L779" s="2" t="s">
        <v>8476</v>
      </c>
      <c r="M779" s="3" t="s">
        <v>2488</v>
      </c>
      <c r="O779" s="3" t="s">
        <v>114</v>
      </c>
      <c r="P779" s="3" t="s">
        <v>1114</v>
      </c>
      <c r="R779" s="3" t="s">
        <v>68</v>
      </c>
      <c r="S779" s="4">
        <v>3</v>
      </c>
      <c r="T779" s="4">
        <v>3</v>
      </c>
      <c r="U779" s="5" t="s">
        <v>8477</v>
      </c>
      <c r="V779" s="5" t="s">
        <v>8477</v>
      </c>
      <c r="W779" s="5" t="s">
        <v>3205</v>
      </c>
      <c r="X779" s="5" t="s">
        <v>3205</v>
      </c>
      <c r="Y779" s="4">
        <v>1689</v>
      </c>
      <c r="Z779" s="4">
        <v>1456</v>
      </c>
      <c r="AA779" s="4">
        <v>1889</v>
      </c>
      <c r="AB779" s="4">
        <v>15</v>
      </c>
      <c r="AC779" s="4">
        <v>16</v>
      </c>
      <c r="AD779" s="4">
        <v>53</v>
      </c>
      <c r="AE779" s="4">
        <v>64</v>
      </c>
      <c r="AF779" s="4">
        <v>19</v>
      </c>
      <c r="AG779" s="4">
        <v>26</v>
      </c>
      <c r="AH779" s="4">
        <v>9</v>
      </c>
      <c r="AI779" s="4">
        <v>11</v>
      </c>
      <c r="AJ779" s="4">
        <v>24</v>
      </c>
      <c r="AK779" s="4">
        <v>26</v>
      </c>
      <c r="AL779" s="4">
        <v>12</v>
      </c>
      <c r="AM779" s="4">
        <v>13</v>
      </c>
      <c r="AN779" s="4">
        <v>1</v>
      </c>
      <c r="AO779" s="4">
        <v>2</v>
      </c>
      <c r="AP779" s="3" t="s">
        <v>61</v>
      </c>
      <c r="AQ779" s="3" t="s">
        <v>61</v>
      </c>
      <c r="AS779" s="6" t="str">
        <f>HYPERLINK("https://creighton-primo.hosted.exlibrisgroup.com/primo-explore/search?tab=default_tab&amp;search_scope=EVERYTHING&amp;vid=01CRU&amp;lang=en_US&amp;offset=0&amp;query=any,contains,991002484989702656","Catalog Record")</f>
        <v>Catalog Record</v>
      </c>
      <c r="AT779" s="6" t="str">
        <f>HYPERLINK("http://www.worldcat.org/oclc/360698","WorldCat Record")</f>
        <v>WorldCat Record</v>
      </c>
      <c r="AU779" s="3" t="s">
        <v>8478</v>
      </c>
      <c r="AV779" s="3" t="s">
        <v>8479</v>
      </c>
      <c r="AW779" s="3" t="s">
        <v>8480</v>
      </c>
      <c r="AX779" s="3" t="s">
        <v>8480</v>
      </c>
      <c r="AY779" s="3" t="s">
        <v>8481</v>
      </c>
      <c r="AZ779" s="3" t="s">
        <v>75</v>
      </c>
      <c r="BC779" s="3" t="s">
        <v>8482</v>
      </c>
      <c r="BD779" s="3" t="s">
        <v>8483</v>
      </c>
    </row>
    <row r="780" spans="1:56" ht="44.25" customHeight="1" x14ac:dyDescent="0.25">
      <c r="A780" s="7" t="s">
        <v>61</v>
      </c>
      <c r="B780" s="2" t="s">
        <v>8484</v>
      </c>
      <c r="C780" s="2" t="s">
        <v>8485</v>
      </c>
      <c r="D780" s="2" t="s">
        <v>8486</v>
      </c>
      <c r="F780" s="3" t="s">
        <v>61</v>
      </c>
      <c r="G780" s="3" t="s">
        <v>60</v>
      </c>
      <c r="H780" s="3" t="s">
        <v>61</v>
      </c>
      <c r="I780" s="3" t="s">
        <v>61</v>
      </c>
      <c r="J780" s="3" t="s">
        <v>62</v>
      </c>
      <c r="K780" s="2" t="s">
        <v>8487</v>
      </c>
      <c r="L780" s="2" t="s">
        <v>8488</v>
      </c>
      <c r="M780" s="3" t="s">
        <v>466</v>
      </c>
      <c r="O780" s="3" t="s">
        <v>114</v>
      </c>
      <c r="P780" s="3" t="s">
        <v>192</v>
      </c>
      <c r="R780" s="3" t="s">
        <v>68</v>
      </c>
      <c r="S780" s="4">
        <v>2</v>
      </c>
      <c r="T780" s="4">
        <v>2</v>
      </c>
      <c r="U780" s="5" t="s">
        <v>8489</v>
      </c>
      <c r="V780" s="5" t="s">
        <v>8489</v>
      </c>
      <c r="W780" s="5" t="s">
        <v>6867</v>
      </c>
      <c r="X780" s="5" t="s">
        <v>6867</v>
      </c>
      <c r="Y780" s="4">
        <v>371</v>
      </c>
      <c r="Z780" s="4">
        <v>236</v>
      </c>
      <c r="AA780" s="4">
        <v>244</v>
      </c>
      <c r="AB780" s="4">
        <v>3</v>
      </c>
      <c r="AC780" s="4">
        <v>3</v>
      </c>
      <c r="AD780" s="4">
        <v>12</v>
      </c>
      <c r="AE780" s="4">
        <v>12</v>
      </c>
      <c r="AF780" s="4">
        <v>5</v>
      </c>
      <c r="AG780" s="4">
        <v>5</v>
      </c>
      <c r="AH780" s="4">
        <v>3</v>
      </c>
      <c r="AI780" s="4">
        <v>3</v>
      </c>
      <c r="AJ780" s="4">
        <v>6</v>
      </c>
      <c r="AK780" s="4">
        <v>6</v>
      </c>
      <c r="AL780" s="4">
        <v>2</v>
      </c>
      <c r="AM780" s="4">
        <v>2</v>
      </c>
      <c r="AN780" s="4">
        <v>0</v>
      </c>
      <c r="AO780" s="4">
        <v>0</v>
      </c>
      <c r="AP780" s="3" t="s">
        <v>61</v>
      </c>
      <c r="AQ780" s="3" t="s">
        <v>59</v>
      </c>
      <c r="AR780" s="6" t="str">
        <f>HYPERLINK("http://catalog.hathitrust.org/Record/000260710","HathiTrust Record")</f>
        <v>HathiTrust Record</v>
      </c>
      <c r="AS780" s="6" t="str">
        <f>HYPERLINK("https://creighton-primo.hosted.exlibrisgroup.com/primo-explore/search?tab=default_tab&amp;search_scope=EVERYTHING&amp;vid=01CRU&amp;lang=en_US&amp;offset=0&amp;query=any,contains,991004700889702656","Catalog Record")</f>
        <v>Catalog Record</v>
      </c>
      <c r="AT780" s="6" t="str">
        <f>HYPERLINK("http://www.worldcat.org/oclc/4667280","WorldCat Record")</f>
        <v>WorldCat Record</v>
      </c>
      <c r="AU780" s="3" t="s">
        <v>8490</v>
      </c>
      <c r="AV780" s="3" t="s">
        <v>8491</v>
      </c>
      <c r="AW780" s="3" t="s">
        <v>8492</v>
      </c>
      <c r="AX780" s="3" t="s">
        <v>8492</v>
      </c>
      <c r="AY780" s="3" t="s">
        <v>8493</v>
      </c>
      <c r="AZ780" s="3" t="s">
        <v>75</v>
      </c>
      <c r="BB780" s="3" t="s">
        <v>8494</v>
      </c>
      <c r="BC780" s="3" t="s">
        <v>8495</v>
      </c>
      <c r="BD780" s="3" t="s">
        <v>8496</v>
      </c>
    </row>
    <row r="781" spans="1:56" ht="44.25" customHeight="1" x14ac:dyDescent="0.25">
      <c r="A781" s="7" t="s">
        <v>61</v>
      </c>
      <c r="B781" s="2" t="s">
        <v>8497</v>
      </c>
      <c r="C781" s="2" t="s">
        <v>8498</v>
      </c>
      <c r="D781" s="2" t="s">
        <v>8499</v>
      </c>
      <c r="F781" s="3" t="s">
        <v>61</v>
      </c>
      <c r="G781" s="3" t="s">
        <v>60</v>
      </c>
      <c r="H781" s="3" t="s">
        <v>61</v>
      </c>
      <c r="I781" s="3" t="s">
        <v>61</v>
      </c>
      <c r="J781" s="3" t="s">
        <v>62</v>
      </c>
      <c r="K781" s="2" t="s">
        <v>6583</v>
      </c>
      <c r="L781" s="2" t="s">
        <v>8500</v>
      </c>
      <c r="M781" s="3" t="s">
        <v>755</v>
      </c>
      <c r="O781" s="3" t="s">
        <v>114</v>
      </c>
      <c r="P781" s="3" t="s">
        <v>649</v>
      </c>
      <c r="R781" s="3" t="s">
        <v>68</v>
      </c>
      <c r="S781" s="4">
        <v>1</v>
      </c>
      <c r="T781" s="4">
        <v>1</v>
      </c>
      <c r="U781" s="5" t="s">
        <v>3141</v>
      </c>
      <c r="V781" s="5" t="s">
        <v>3141</v>
      </c>
      <c r="W781" s="5" t="s">
        <v>7196</v>
      </c>
      <c r="X781" s="5" t="s">
        <v>7196</v>
      </c>
      <c r="Y781" s="4">
        <v>171</v>
      </c>
      <c r="Z781" s="4">
        <v>149</v>
      </c>
      <c r="AA781" s="4">
        <v>755</v>
      </c>
      <c r="AB781" s="4">
        <v>1</v>
      </c>
      <c r="AC781" s="4">
        <v>6</v>
      </c>
      <c r="AD781" s="4">
        <v>4</v>
      </c>
      <c r="AE781" s="4">
        <v>33</v>
      </c>
      <c r="AF781" s="4">
        <v>2</v>
      </c>
      <c r="AG781" s="4">
        <v>13</v>
      </c>
      <c r="AH781" s="4">
        <v>1</v>
      </c>
      <c r="AI781" s="4">
        <v>7</v>
      </c>
      <c r="AJ781" s="4">
        <v>1</v>
      </c>
      <c r="AK781" s="4">
        <v>16</v>
      </c>
      <c r="AL781" s="4">
        <v>0</v>
      </c>
      <c r="AM781" s="4">
        <v>5</v>
      </c>
      <c r="AN781" s="4">
        <v>0</v>
      </c>
      <c r="AO781" s="4">
        <v>0</v>
      </c>
      <c r="AP781" s="3" t="s">
        <v>61</v>
      </c>
      <c r="AQ781" s="3" t="s">
        <v>61</v>
      </c>
      <c r="AS781" s="6" t="str">
        <f>HYPERLINK("https://creighton-primo.hosted.exlibrisgroup.com/primo-explore/search?tab=default_tab&amp;search_scope=EVERYTHING&amp;vid=01CRU&amp;lang=en_US&amp;offset=0&amp;query=any,contains,991001245309702656","Catalog Record")</f>
        <v>Catalog Record</v>
      </c>
      <c r="AT781" s="6" t="str">
        <f>HYPERLINK("http://www.worldcat.org/oclc/208209","WorldCat Record")</f>
        <v>WorldCat Record</v>
      </c>
      <c r="AU781" s="3" t="s">
        <v>8501</v>
      </c>
      <c r="AV781" s="3" t="s">
        <v>8502</v>
      </c>
      <c r="AW781" s="3" t="s">
        <v>8503</v>
      </c>
      <c r="AX781" s="3" t="s">
        <v>8503</v>
      </c>
      <c r="AY781" s="3" t="s">
        <v>8504</v>
      </c>
      <c r="AZ781" s="3" t="s">
        <v>75</v>
      </c>
      <c r="BB781" s="3" t="s">
        <v>8505</v>
      </c>
      <c r="BC781" s="3" t="s">
        <v>8506</v>
      </c>
      <c r="BD781" s="3" t="s">
        <v>8507</v>
      </c>
    </row>
    <row r="782" spans="1:56" ht="44.25" customHeight="1" x14ac:dyDescent="0.25">
      <c r="A782" s="7" t="s">
        <v>61</v>
      </c>
      <c r="B782" s="2" t="s">
        <v>8508</v>
      </c>
      <c r="C782" s="2" t="s">
        <v>8509</v>
      </c>
      <c r="D782" s="2" t="s">
        <v>8510</v>
      </c>
      <c r="F782" s="3" t="s">
        <v>61</v>
      </c>
      <c r="G782" s="3" t="s">
        <v>60</v>
      </c>
      <c r="H782" s="3" t="s">
        <v>61</v>
      </c>
      <c r="I782" s="3" t="s">
        <v>61</v>
      </c>
      <c r="J782" s="3" t="s">
        <v>62</v>
      </c>
      <c r="K782" s="2" t="s">
        <v>8511</v>
      </c>
      <c r="L782" s="2" t="s">
        <v>8512</v>
      </c>
      <c r="M782" s="3" t="s">
        <v>1074</v>
      </c>
      <c r="N782" s="2" t="s">
        <v>634</v>
      </c>
      <c r="O782" s="3" t="s">
        <v>114</v>
      </c>
      <c r="P782" s="3" t="s">
        <v>235</v>
      </c>
      <c r="R782" s="3" t="s">
        <v>68</v>
      </c>
      <c r="S782" s="4">
        <v>1</v>
      </c>
      <c r="T782" s="4">
        <v>1</v>
      </c>
      <c r="U782" s="5" t="s">
        <v>8513</v>
      </c>
      <c r="V782" s="5" t="s">
        <v>8513</v>
      </c>
      <c r="W782" s="5" t="s">
        <v>2699</v>
      </c>
      <c r="X782" s="5" t="s">
        <v>2699</v>
      </c>
      <c r="Y782" s="4">
        <v>797</v>
      </c>
      <c r="Z782" s="4">
        <v>726</v>
      </c>
      <c r="AA782" s="4">
        <v>727</v>
      </c>
      <c r="AB782" s="4">
        <v>5</v>
      </c>
      <c r="AC782" s="4">
        <v>5</v>
      </c>
      <c r="AD782" s="4">
        <v>26</v>
      </c>
      <c r="AE782" s="4">
        <v>26</v>
      </c>
      <c r="AF782" s="4">
        <v>11</v>
      </c>
      <c r="AG782" s="4">
        <v>11</v>
      </c>
      <c r="AH782" s="4">
        <v>5</v>
      </c>
      <c r="AI782" s="4">
        <v>5</v>
      </c>
      <c r="AJ782" s="4">
        <v>12</v>
      </c>
      <c r="AK782" s="4">
        <v>12</v>
      </c>
      <c r="AL782" s="4">
        <v>4</v>
      </c>
      <c r="AM782" s="4">
        <v>4</v>
      </c>
      <c r="AN782" s="4">
        <v>0</v>
      </c>
      <c r="AO782" s="4">
        <v>0</v>
      </c>
      <c r="AP782" s="3" t="s">
        <v>61</v>
      </c>
      <c r="AQ782" s="3" t="s">
        <v>59</v>
      </c>
      <c r="AR782" s="6" t="str">
        <f>HYPERLINK("http://catalog.hathitrust.org/Record/000647793","HathiTrust Record")</f>
        <v>HathiTrust Record</v>
      </c>
      <c r="AS782" s="6" t="str">
        <f>HYPERLINK("https://creighton-primo.hosted.exlibrisgroup.com/primo-explore/search?tab=default_tab&amp;search_scope=EVERYTHING&amp;vid=01CRU&amp;lang=en_US&amp;offset=0&amp;query=any,contains,991000538999702656","Catalog Record")</f>
        <v>Catalog Record</v>
      </c>
      <c r="AT782" s="6" t="str">
        <f>HYPERLINK("http://www.worldcat.org/oclc/11469510","WorldCat Record")</f>
        <v>WorldCat Record</v>
      </c>
      <c r="AU782" s="3" t="s">
        <v>8514</v>
      </c>
      <c r="AV782" s="3" t="s">
        <v>8515</v>
      </c>
      <c r="AW782" s="3" t="s">
        <v>8516</v>
      </c>
      <c r="AX782" s="3" t="s">
        <v>8516</v>
      </c>
      <c r="AY782" s="3" t="s">
        <v>8517</v>
      </c>
      <c r="AZ782" s="3" t="s">
        <v>75</v>
      </c>
      <c r="BB782" s="3" t="s">
        <v>8518</v>
      </c>
      <c r="BC782" s="3" t="s">
        <v>8519</v>
      </c>
      <c r="BD782" s="3" t="s">
        <v>8520</v>
      </c>
    </row>
    <row r="783" spans="1:56" ht="44.25" customHeight="1" x14ac:dyDescent="0.25">
      <c r="A783" s="7" t="s">
        <v>61</v>
      </c>
      <c r="B783" s="2" t="s">
        <v>8521</v>
      </c>
      <c r="C783" s="2" t="s">
        <v>8522</v>
      </c>
      <c r="D783" s="2" t="s">
        <v>8523</v>
      </c>
      <c r="F783" s="3" t="s">
        <v>61</v>
      </c>
      <c r="G783" s="3" t="s">
        <v>60</v>
      </c>
      <c r="H783" s="3" t="s">
        <v>61</v>
      </c>
      <c r="I783" s="3" t="s">
        <v>61</v>
      </c>
      <c r="J783" s="3" t="s">
        <v>62</v>
      </c>
      <c r="K783" s="2" t="s">
        <v>8524</v>
      </c>
      <c r="L783" s="2" t="s">
        <v>8525</v>
      </c>
      <c r="M783" s="3" t="s">
        <v>942</v>
      </c>
      <c r="O783" s="3" t="s">
        <v>114</v>
      </c>
      <c r="P783" s="3" t="s">
        <v>364</v>
      </c>
      <c r="R783" s="3" t="s">
        <v>68</v>
      </c>
      <c r="S783" s="4">
        <v>1</v>
      </c>
      <c r="T783" s="4">
        <v>1</v>
      </c>
      <c r="U783" s="5" t="s">
        <v>8526</v>
      </c>
      <c r="V783" s="5" t="s">
        <v>8526</v>
      </c>
      <c r="W783" s="5" t="s">
        <v>7196</v>
      </c>
      <c r="X783" s="5" t="s">
        <v>7196</v>
      </c>
      <c r="Y783" s="4">
        <v>524</v>
      </c>
      <c r="Z783" s="4">
        <v>505</v>
      </c>
      <c r="AA783" s="4">
        <v>667</v>
      </c>
      <c r="AB783" s="4">
        <v>4</v>
      </c>
      <c r="AC783" s="4">
        <v>5</v>
      </c>
      <c r="AD783" s="4">
        <v>39</v>
      </c>
      <c r="AE783" s="4">
        <v>47</v>
      </c>
      <c r="AF783" s="4">
        <v>16</v>
      </c>
      <c r="AG783" s="4">
        <v>18</v>
      </c>
      <c r="AH783" s="4">
        <v>7</v>
      </c>
      <c r="AI783" s="4">
        <v>7</v>
      </c>
      <c r="AJ783" s="4">
        <v>19</v>
      </c>
      <c r="AK783" s="4">
        <v>19</v>
      </c>
      <c r="AL783" s="4">
        <v>3</v>
      </c>
      <c r="AM783" s="4">
        <v>3</v>
      </c>
      <c r="AN783" s="4">
        <v>2</v>
      </c>
      <c r="AO783" s="4">
        <v>8</v>
      </c>
      <c r="AP783" s="3" t="s">
        <v>61</v>
      </c>
      <c r="AQ783" s="3" t="s">
        <v>61</v>
      </c>
      <c r="AR783" s="6" t="str">
        <f>HYPERLINK("http://catalog.hathitrust.org/Record/000486377","HathiTrust Record")</f>
        <v>HathiTrust Record</v>
      </c>
      <c r="AS783" s="6" t="str">
        <f>HYPERLINK("https://creighton-primo.hosted.exlibrisgroup.com/primo-explore/search?tab=default_tab&amp;search_scope=EVERYTHING&amp;vid=01CRU&amp;lang=en_US&amp;offset=0&amp;query=any,contains,991003387339702656","Catalog Record")</f>
        <v>Catalog Record</v>
      </c>
      <c r="AT783" s="6" t="str">
        <f>HYPERLINK("http://www.worldcat.org/oclc/923872","WorldCat Record")</f>
        <v>WorldCat Record</v>
      </c>
      <c r="AU783" s="3" t="s">
        <v>8527</v>
      </c>
      <c r="AV783" s="3" t="s">
        <v>8528</v>
      </c>
      <c r="AW783" s="3" t="s">
        <v>8529</v>
      </c>
      <c r="AX783" s="3" t="s">
        <v>8529</v>
      </c>
      <c r="AY783" s="3" t="s">
        <v>8530</v>
      </c>
      <c r="AZ783" s="3" t="s">
        <v>75</v>
      </c>
      <c r="BC783" s="3" t="s">
        <v>8531</v>
      </c>
      <c r="BD783" s="3" t="s">
        <v>8532</v>
      </c>
    </row>
    <row r="784" spans="1:56" ht="44.25" customHeight="1" x14ac:dyDescent="0.25">
      <c r="A784" s="7" t="s">
        <v>61</v>
      </c>
      <c r="B784" s="2" t="s">
        <v>8533</v>
      </c>
      <c r="C784" s="2" t="s">
        <v>8534</v>
      </c>
      <c r="D784" s="2" t="s">
        <v>8535</v>
      </c>
      <c r="F784" s="3" t="s">
        <v>61</v>
      </c>
      <c r="G784" s="3" t="s">
        <v>60</v>
      </c>
      <c r="H784" s="3" t="s">
        <v>61</v>
      </c>
      <c r="I784" s="3" t="s">
        <v>61</v>
      </c>
      <c r="J784" s="3" t="s">
        <v>62</v>
      </c>
      <c r="K784" s="2" t="s">
        <v>8536</v>
      </c>
      <c r="L784" s="2" t="s">
        <v>8537</v>
      </c>
      <c r="M784" s="3" t="s">
        <v>263</v>
      </c>
      <c r="O784" s="3" t="s">
        <v>114</v>
      </c>
      <c r="P784" s="3" t="s">
        <v>192</v>
      </c>
      <c r="R784" s="3" t="s">
        <v>68</v>
      </c>
      <c r="S784" s="4">
        <v>2</v>
      </c>
      <c r="T784" s="4">
        <v>2</v>
      </c>
      <c r="U784" s="5" t="s">
        <v>8538</v>
      </c>
      <c r="V784" s="5" t="s">
        <v>8538</v>
      </c>
      <c r="W784" s="5" t="s">
        <v>6867</v>
      </c>
      <c r="X784" s="5" t="s">
        <v>6867</v>
      </c>
      <c r="Y784" s="4">
        <v>442</v>
      </c>
      <c r="Z784" s="4">
        <v>312</v>
      </c>
      <c r="AA784" s="4">
        <v>314</v>
      </c>
      <c r="AB784" s="4">
        <v>3</v>
      </c>
      <c r="AC784" s="4">
        <v>3</v>
      </c>
      <c r="AD784" s="4">
        <v>15</v>
      </c>
      <c r="AE784" s="4">
        <v>15</v>
      </c>
      <c r="AF784" s="4">
        <v>6</v>
      </c>
      <c r="AG784" s="4">
        <v>6</v>
      </c>
      <c r="AH784" s="4">
        <v>4</v>
      </c>
      <c r="AI784" s="4">
        <v>4</v>
      </c>
      <c r="AJ784" s="4">
        <v>10</v>
      </c>
      <c r="AK784" s="4">
        <v>10</v>
      </c>
      <c r="AL784" s="4">
        <v>2</v>
      </c>
      <c r="AM784" s="4">
        <v>2</v>
      </c>
      <c r="AN784" s="4">
        <v>0</v>
      </c>
      <c r="AO784" s="4">
        <v>0</v>
      </c>
      <c r="AP784" s="3" t="s">
        <v>61</v>
      </c>
      <c r="AQ784" s="3" t="s">
        <v>59</v>
      </c>
      <c r="AR784" s="6" t="str">
        <f>HYPERLINK("http://catalog.hathitrust.org/Record/000195649","HathiTrust Record")</f>
        <v>HathiTrust Record</v>
      </c>
      <c r="AS784" s="6" t="str">
        <f>HYPERLINK("https://creighton-primo.hosted.exlibrisgroup.com/primo-explore/search?tab=default_tab&amp;search_scope=EVERYTHING&amp;vid=01CRU&amp;lang=en_US&amp;offset=0&amp;query=any,contains,991005237639702656","Catalog Record")</f>
        <v>Catalog Record</v>
      </c>
      <c r="AT784" s="6" t="str">
        <f>HYPERLINK("http://www.worldcat.org/oclc/8388673","WorldCat Record")</f>
        <v>WorldCat Record</v>
      </c>
      <c r="AU784" s="3" t="s">
        <v>8539</v>
      </c>
      <c r="AV784" s="3" t="s">
        <v>8540</v>
      </c>
      <c r="AW784" s="3" t="s">
        <v>8541</v>
      </c>
      <c r="AX784" s="3" t="s">
        <v>8541</v>
      </c>
      <c r="AY784" s="3" t="s">
        <v>8542</v>
      </c>
      <c r="AZ784" s="3" t="s">
        <v>75</v>
      </c>
      <c r="BB784" s="3" t="s">
        <v>8543</v>
      </c>
      <c r="BC784" s="3" t="s">
        <v>8544</v>
      </c>
      <c r="BD784" s="3" t="s">
        <v>8545</v>
      </c>
    </row>
    <row r="785" spans="1:56" ht="44.25" customHeight="1" x14ac:dyDescent="0.25">
      <c r="A785" s="7" t="s">
        <v>61</v>
      </c>
      <c r="B785" s="2" t="s">
        <v>8546</v>
      </c>
      <c r="C785" s="2" t="s">
        <v>8547</v>
      </c>
      <c r="D785" s="2" t="s">
        <v>8548</v>
      </c>
      <c r="F785" s="3" t="s">
        <v>61</v>
      </c>
      <c r="G785" s="3" t="s">
        <v>60</v>
      </c>
      <c r="H785" s="3" t="s">
        <v>61</v>
      </c>
      <c r="I785" s="3" t="s">
        <v>61</v>
      </c>
      <c r="J785" s="3" t="s">
        <v>62</v>
      </c>
      <c r="K785" s="2" t="s">
        <v>8549</v>
      </c>
      <c r="L785" s="2" t="s">
        <v>8550</v>
      </c>
      <c r="M785" s="3" t="s">
        <v>263</v>
      </c>
      <c r="N785" s="2" t="s">
        <v>679</v>
      </c>
      <c r="O785" s="3" t="s">
        <v>114</v>
      </c>
      <c r="P785" s="3" t="s">
        <v>235</v>
      </c>
      <c r="R785" s="3" t="s">
        <v>68</v>
      </c>
      <c r="S785" s="4">
        <v>3</v>
      </c>
      <c r="T785" s="4">
        <v>3</v>
      </c>
      <c r="U785" s="5" t="s">
        <v>8551</v>
      </c>
      <c r="V785" s="5" t="s">
        <v>8551</v>
      </c>
      <c r="W785" s="5" t="s">
        <v>2699</v>
      </c>
      <c r="X785" s="5" t="s">
        <v>2699</v>
      </c>
      <c r="Y785" s="4">
        <v>742</v>
      </c>
      <c r="Z785" s="4">
        <v>694</v>
      </c>
      <c r="AA785" s="4">
        <v>826</v>
      </c>
      <c r="AB785" s="4">
        <v>1</v>
      </c>
      <c r="AC785" s="4">
        <v>3</v>
      </c>
      <c r="AD785" s="4">
        <v>22</v>
      </c>
      <c r="AE785" s="4">
        <v>29</v>
      </c>
      <c r="AF785" s="4">
        <v>13</v>
      </c>
      <c r="AG785" s="4">
        <v>14</v>
      </c>
      <c r="AH785" s="4">
        <v>5</v>
      </c>
      <c r="AI785" s="4">
        <v>6</v>
      </c>
      <c r="AJ785" s="4">
        <v>11</v>
      </c>
      <c r="AK785" s="4">
        <v>15</v>
      </c>
      <c r="AL785" s="4">
        <v>0</v>
      </c>
      <c r="AM785" s="4">
        <v>2</v>
      </c>
      <c r="AN785" s="4">
        <v>0</v>
      </c>
      <c r="AO785" s="4">
        <v>0</v>
      </c>
      <c r="AP785" s="3" t="s">
        <v>61</v>
      </c>
      <c r="AQ785" s="3" t="s">
        <v>59</v>
      </c>
      <c r="AR785" s="6" t="str">
        <f>HYPERLINK("http://catalog.hathitrust.org/Record/000770872","HathiTrust Record")</f>
        <v>HathiTrust Record</v>
      </c>
      <c r="AS785" s="6" t="str">
        <f>HYPERLINK("https://creighton-primo.hosted.exlibrisgroup.com/primo-explore/search?tab=default_tab&amp;search_scope=EVERYTHING&amp;vid=01CRU&amp;lang=en_US&amp;offset=0&amp;query=any,contains,991005171639702656","Catalog Record")</f>
        <v>Catalog Record</v>
      </c>
      <c r="AT785" s="6" t="str">
        <f>HYPERLINK("http://www.worldcat.org/oclc/7875468","WorldCat Record")</f>
        <v>WorldCat Record</v>
      </c>
      <c r="AU785" s="3" t="s">
        <v>8552</v>
      </c>
      <c r="AV785" s="3" t="s">
        <v>8553</v>
      </c>
      <c r="AW785" s="3" t="s">
        <v>8554</v>
      </c>
      <c r="AX785" s="3" t="s">
        <v>8554</v>
      </c>
      <c r="AY785" s="3" t="s">
        <v>8555</v>
      </c>
      <c r="AZ785" s="3" t="s">
        <v>75</v>
      </c>
      <c r="BB785" s="3" t="s">
        <v>8556</v>
      </c>
      <c r="BC785" s="3" t="s">
        <v>8557</v>
      </c>
      <c r="BD785" s="3" t="s">
        <v>8558</v>
      </c>
    </row>
    <row r="786" spans="1:56" ht="44.25" customHeight="1" x14ac:dyDescent="0.25">
      <c r="A786" s="7" t="s">
        <v>61</v>
      </c>
      <c r="B786" s="2" t="s">
        <v>8559</v>
      </c>
      <c r="C786" s="2" t="s">
        <v>8560</v>
      </c>
      <c r="D786" s="2" t="s">
        <v>8561</v>
      </c>
      <c r="F786" s="3" t="s">
        <v>61</v>
      </c>
      <c r="G786" s="3" t="s">
        <v>60</v>
      </c>
      <c r="H786" s="3" t="s">
        <v>61</v>
      </c>
      <c r="I786" s="3" t="s">
        <v>61</v>
      </c>
      <c r="J786" s="3" t="s">
        <v>62</v>
      </c>
      <c r="K786" s="2" t="s">
        <v>8562</v>
      </c>
      <c r="L786" s="2" t="s">
        <v>8563</v>
      </c>
      <c r="M786" s="3" t="s">
        <v>2323</v>
      </c>
      <c r="N786" s="2" t="s">
        <v>679</v>
      </c>
      <c r="O786" s="3" t="s">
        <v>114</v>
      </c>
      <c r="P786" s="3" t="s">
        <v>235</v>
      </c>
      <c r="R786" s="3" t="s">
        <v>68</v>
      </c>
      <c r="S786" s="4">
        <v>2</v>
      </c>
      <c r="T786" s="4">
        <v>2</v>
      </c>
      <c r="U786" s="5" t="s">
        <v>8564</v>
      </c>
      <c r="V786" s="5" t="s">
        <v>8564</v>
      </c>
      <c r="W786" s="5" t="s">
        <v>8564</v>
      </c>
      <c r="X786" s="5" t="s">
        <v>8564</v>
      </c>
      <c r="Y786" s="4">
        <v>516</v>
      </c>
      <c r="Z786" s="4">
        <v>481</v>
      </c>
      <c r="AA786" s="4">
        <v>490</v>
      </c>
      <c r="AB786" s="4">
        <v>5</v>
      </c>
      <c r="AC786" s="4">
        <v>5</v>
      </c>
      <c r="AD786" s="4">
        <v>21</v>
      </c>
      <c r="AE786" s="4">
        <v>21</v>
      </c>
      <c r="AF786" s="4">
        <v>7</v>
      </c>
      <c r="AG786" s="4">
        <v>7</v>
      </c>
      <c r="AH786" s="4">
        <v>5</v>
      </c>
      <c r="AI786" s="4">
        <v>5</v>
      </c>
      <c r="AJ786" s="4">
        <v>9</v>
      </c>
      <c r="AK786" s="4">
        <v>9</v>
      </c>
      <c r="AL786" s="4">
        <v>3</v>
      </c>
      <c r="AM786" s="4">
        <v>3</v>
      </c>
      <c r="AN786" s="4">
        <v>0</v>
      </c>
      <c r="AO786" s="4">
        <v>0</v>
      </c>
      <c r="AP786" s="3" t="s">
        <v>61</v>
      </c>
      <c r="AQ786" s="3" t="s">
        <v>59</v>
      </c>
      <c r="AR786" s="6" t="str">
        <f>HYPERLINK("http://catalog.hathitrust.org/Record/007145275","HathiTrust Record")</f>
        <v>HathiTrust Record</v>
      </c>
      <c r="AS786" s="6" t="str">
        <f>HYPERLINK("https://creighton-primo.hosted.exlibrisgroup.com/primo-explore/search?tab=default_tab&amp;search_scope=EVERYTHING&amp;vid=01CRU&amp;lang=en_US&amp;offset=0&amp;query=any,contains,991004455279702656","Catalog Record")</f>
        <v>Catalog Record</v>
      </c>
      <c r="AT786" s="6" t="str">
        <f>HYPERLINK("http://www.worldcat.org/oclc/55016737","WorldCat Record")</f>
        <v>WorldCat Record</v>
      </c>
      <c r="AU786" s="3" t="s">
        <v>8565</v>
      </c>
      <c r="AV786" s="3" t="s">
        <v>8566</v>
      </c>
      <c r="AW786" s="3" t="s">
        <v>8567</v>
      </c>
      <c r="AX786" s="3" t="s">
        <v>8567</v>
      </c>
      <c r="AY786" s="3" t="s">
        <v>8568</v>
      </c>
      <c r="AZ786" s="3" t="s">
        <v>75</v>
      </c>
      <c r="BB786" s="3" t="s">
        <v>8569</v>
      </c>
      <c r="BC786" s="3" t="s">
        <v>8570</v>
      </c>
      <c r="BD786" s="3" t="s">
        <v>8571</v>
      </c>
    </row>
    <row r="787" spans="1:56" ht="44.25" customHeight="1" x14ac:dyDescent="0.25">
      <c r="A787" s="7" t="s">
        <v>61</v>
      </c>
      <c r="B787" s="2" t="s">
        <v>8572</v>
      </c>
      <c r="C787" s="2" t="s">
        <v>8573</v>
      </c>
      <c r="D787" s="2" t="s">
        <v>8574</v>
      </c>
      <c r="F787" s="3" t="s">
        <v>61</v>
      </c>
      <c r="G787" s="3" t="s">
        <v>60</v>
      </c>
      <c r="H787" s="3" t="s">
        <v>61</v>
      </c>
      <c r="I787" s="3" t="s">
        <v>61</v>
      </c>
      <c r="J787" s="3" t="s">
        <v>62</v>
      </c>
      <c r="K787" s="2" t="s">
        <v>4638</v>
      </c>
      <c r="L787" s="2" t="s">
        <v>8575</v>
      </c>
      <c r="M787" s="3" t="s">
        <v>451</v>
      </c>
      <c r="O787" s="3" t="s">
        <v>114</v>
      </c>
      <c r="P787" s="3" t="s">
        <v>649</v>
      </c>
      <c r="R787" s="3" t="s">
        <v>68</v>
      </c>
      <c r="S787" s="4">
        <v>3</v>
      </c>
      <c r="T787" s="4">
        <v>3</v>
      </c>
      <c r="U787" s="5" t="s">
        <v>1774</v>
      </c>
      <c r="V787" s="5" t="s">
        <v>1774</v>
      </c>
      <c r="W787" s="5" t="s">
        <v>8576</v>
      </c>
      <c r="X787" s="5" t="s">
        <v>8576</v>
      </c>
      <c r="Y787" s="4">
        <v>1485</v>
      </c>
      <c r="Z787" s="4">
        <v>1270</v>
      </c>
      <c r="AA787" s="4">
        <v>1694</v>
      </c>
      <c r="AB787" s="4">
        <v>11</v>
      </c>
      <c r="AC787" s="4">
        <v>12</v>
      </c>
      <c r="AD787" s="4">
        <v>47</v>
      </c>
      <c r="AE787" s="4">
        <v>58</v>
      </c>
      <c r="AF787" s="4">
        <v>20</v>
      </c>
      <c r="AG787" s="4">
        <v>27</v>
      </c>
      <c r="AH787" s="4">
        <v>8</v>
      </c>
      <c r="AI787" s="4">
        <v>10</v>
      </c>
      <c r="AJ787" s="4">
        <v>22</v>
      </c>
      <c r="AK787" s="4">
        <v>24</v>
      </c>
      <c r="AL787" s="4">
        <v>7</v>
      </c>
      <c r="AM787" s="4">
        <v>8</v>
      </c>
      <c r="AN787" s="4">
        <v>0</v>
      </c>
      <c r="AO787" s="4">
        <v>1</v>
      </c>
      <c r="AP787" s="3" t="s">
        <v>61</v>
      </c>
      <c r="AQ787" s="3" t="s">
        <v>61</v>
      </c>
      <c r="AS787" s="6" t="str">
        <f>HYPERLINK("https://creighton-primo.hosted.exlibrisgroup.com/primo-explore/search?tab=default_tab&amp;search_scope=EVERYTHING&amp;vid=01CRU&amp;lang=en_US&amp;offset=0&amp;query=any,contains,991003021569702656","Catalog Record")</f>
        <v>Catalog Record</v>
      </c>
      <c r="AT787" s="6" t="str">
        <f>HYPERLINK("http://www.worldcat.org/oclc/41176705","WorldCat Record")</f>
        <v>WorldCat Record</v>
      </c>
      <c r="AU787" s="3" t="s">
        <v>8577</v>
      </c>
      <c r="AV787" s="3" t="s">
        <v>8578</v>
      </c>
      <c r="AW787" s="3" t="s">
        <v>8579</v>
      </c>
      <c r="AX787" s="3" t="s">
        <v>8579</v>
      </c>
      <c r="AY787" s="3" t="s">
        <v>8580</v>
      </c>
      <c r="AZ787" s="3" t="s">
        <v>75</v>
      </c>
      <c r="BB787" s="3" t="s">
        <v>8581</v>
      </c>
      <c r="BC787" s="3" t="s">
        <v>8582</v>
      </c>
      <c r="BD787" s="3" t="s">
        <v>8583</v>
      </c>
    </row>
    <row r="788" spans="1:56" ht="44.25" customHeight="1" x14ac:dyDescent="0.25">
      <c r="A788" s="7" t="s">
        <v>61</v>
      </c>
      <c r="B788" s="2" t="s">
        <v>8584</v>
      </c>
      <c r="C788" s="2" t="s">
        <v>8585</v>
      </c>
      <c r="D788" s="2" t="s">
        <v>8586</v>
      </c>
      <c r="F788" s="3" t="s">
        <v>61</v>
      </c>
      <c r="G788" s="3" t="s">
        <v>60</v>
      </c>
      <c r="H788" s="3" t="s">
        <v>61</v>
      </c>
      <c r="I788" s="3" t="s">
        <v>61</v>
      </c>
      <c r="J788" s="3" t="s">
        <v>62</v>
      </c>
      <c r="K788" s="2" t="s">
        <v>8587</v>
      </c>
      <c r="L788" s="2" t="s">
        <v>8588</v>
      </c>
      <c r="M788" s="3" t="s">
        <v>579</v>
      </c>
      <c r="O788" s="3" t="s">
        <v>114</v>
      </c>
      <c r="P788" s="3" t="s">
        <v>192</v>
      </c>
      <c r="R788" s="3" t="s">
        <v>68</v>
      </c>
      <c r="S788" s="4">
        <v>2</v>
      </c>
      <c r="T788" s="4">
        <v>2</v>
      </c>
      <c r="U788" s="5" t="s">
        <v>6223</v>
      </c>
      <c r="V788" s="5" t="s">
        <v>6223</v>
      </c>
      <c r="W788" s="5" t="s">
        <v>8589</v>
      </c>
      <c r="X788" s="5" t="s">
        <v>8589</v>
      </c>
      <c r="Y788" s="4">
        <v>417</v>
      </c>
      <c r="Z788" s="4">
        <v>305</v>
      </c>
      <c r="AA788" s="4">
        <v>320</v>
      </c>
      <c r="AB788" s="4">
        <v>3</v>
      </c>
      <c r="AC788" s="4">
        <v>3</v>
      </c>
      <c r="AD788" s="4">
        <v>13</v>
      </c>
      <c r="AE788" s="4">
        <v>13</v>
      </c>
      <c r="AF788" s="4">
        <v>4</v>
      </c>
      <c r="AG788" s="4">
        <v>4</v>
      </c>
      <c r="AH788" s="4">
        <v>3</v>
      </c>
      <c r="AI788" s="4">
        <v>3</v>
      </c>
      <c r="AJ788" s="4">
        <v>8</v>
      </c>
      <c r="AK788" s="4">
        <v>8</v>
      </c>
      <c r="AL788" s="4">
        <v>2</v>
      </c>
      <c r="AM788" s="4">
        <v>2</v>
      </c>
      <c r="AN788" s="4">
        <v>0</v>
      </c>
      <c r="AO788" s="4">
        <v>0</v>
      </c>
      <c r="AP788" s="3" t="s">
        <v>61</v>
      </c>
      <c r="AQ788" s="3" t="s">
        <v>61</v>
      </c>
      <c r="AS788" s="6" t="str">
        <f>HYPERLINK("https://creighton-primo.hosted.exlibrisgroup.com/primo-explore/search?tab=default_tab&amp;search_scope=EVERYTHING&amp;vid=01CRU&amp;lang=en_US&amp;offset=0&amp;query=any,contains,991000659799702656","Catalog Record")</f>
        <v>Catalog Record</v>
      </c>
      <c r="AT788" s="6" t="str">
        <f>HYPERLINK("http://www.worldcat.org/oclc/12236828","WorldCat Record")</f>
        <v>WorldCat Record</v>
      </c>
      <c r="AU788" s="3" t="s">
        <v>8590</v>
      </c>
      <c r="AV788" s="3" t="s">
        <v>8591</v>
      </c>
      <c r="AW788" s="3" t="s">
        <v>8592</v>
      </c>
      <c r="AX788" s="3" t="s">
        <v>8592</v>
      </c>
      <c r="AY788" s="3" t="s">
        <v>8593</v>
      </c>
      <c r="AZ788" s="3" t="s">
        <v>75</v>
      </c>
      <c r="BB788" s="3" t="s">
        <v>8594</v>
      </c>
      <c r="BC788" s="3" t="s">
        <v>8595</v>
      </c>
      <c r="BD788" s="3" t="s">
        <v>8596</v>
      </c>
    </row>
    <row r="789" spans="1:56" ht="44.25" customHeight="1" x14ac:dyDescent="0.25">
      <c r="A789" s="7" t="s">
        <v>61</v>
      </c>
      <c r="B789" s="2" t="s">
        <v>8597</v>
      </c>
      <c r="C789" s="2" t="s">
        <v>8598</v>
      </c>
      <c r="D789" s="2" t="s">
        <v>8599</v>
      </c>
      <c r="F789" s="3" t="s">
        <v>61</v>
      </c>
      <c r="G789" s="3" t="s">
        <v>60</v>
      </c>
      <c r="H789" s="3" t="s">
        <v>61</v>
      </c>
      <c r="I789" s="3" t="s">
        <v>61</v>
      </c>
      <c r="J789" s="3" t="s">
        <v>62</v>
      </c>
      <c r="K789" s="2" t="s">
        <v>8600</v>
      </c>
      <c r="L789" s="2" t="s">
        <v>8601</v>
      </c>
      <c r="M789" s="3" t="s">
        <v>350</v>
      </c>
      <c r="O789" s="3" t="s">
        <v>114</v>
      </c>
      <c r="P789" s="3" t="s">
        <v>235</v>
      </c>
      <c r="Q789" s="2" t="s">
        <v>6976</v>
      </c>
      <c r="R789" s="3" t="s">
        <v>68</v>
      </c>
      <c r="S789" s="4">
        <v>1</v>
      </c>
      <c r="T789" s="4">
        <v>1</v>
      </c>
      <c r="U789" s="5" t="s">
        <v>7411</v>
      </c>
      <c r="V789" s="5" t="s">
        <v>7411</v>
      </c>
      <c r="W789" s="5" t="s">
        <v>6867</v>
      </c>
      <c r="X789" s="5" t="s">
        <v>6867</v>
      </c>
      <c r="Y789" s="4">
        <v>372</v>
      </c>
      <c r="Z789" s="4">
        <v>325</v>
      </c>
      <c r="AA789" s="4">
        <v>366</v>
      </c>
      <c r="AB789" s="4">
        <v>1</v>
      </c>
      <c r="AC789" s="4">
        <v>2</v>
      </c>
      <c r="AD789" s="4">
        <v>18</v>
      </c>
      <c r="AE789" s="4">
        <v>20</v>
      </c>
      <c r="AF789" s="4">
        <v>6</v>
      </c>
      <c r="AG789" s="4">
        <v>7</v>
      </c>
      <c r="AH789" s="4">
        <v>6</v>
      </c>
      <c r="AI789" s="4">
        <v>6</v>
      </c>
      <c r="AJ789" s="4">
        <v>13</v>
      </c>
      <c r="AK789" s="4">
        <v>14</v>
      </c>
      <c r="AL789" s="4">
        <v>0</v>
      </c>
      <c r="AM789" s="4">
        <v>1</v>
      </c>
      <c r="AN789" s="4">
        <v>0</v>
      </c>
      <c r="AO789" s="4">
        <v>0</v>
      </c>
      <c r="AP789" s="3" t="s">
        <v>61</v>
      </c>
      <c r="AQ789" s="3" t="s">
        <v>61</v>
      </c>
      <c r="AS789" s="6" t="str">
        <f>HYPERLINK("https://creighton-primo.hosted.exlibrisgroup.com/primo-explore/search?tab=default_tab&amp;search_scope=EVERYTHING&amp;vid=01CRU&amp;lang=en_US&amp;offset=0&amp;query=any,contains,991004593729702656","Catalog Record")</f>
        <v>Catalog Record</v>
      </c>
      <c r="AT789" s="6" t="str">
        <f>HYPERLINK("http://www.worldcat.org/oclc/4135921","WorldCat Record")</f>
        <v>WorldCat Record</v>
      </c>
      <c r="AU789" s="3" t="s">
        <v>8602</v>
      </c>
      <c r="AV789" s="3" t="s">
        <v>8603</v>
      </c>
      <c r="AW789" s="3" t="s">
        <v>8604</v>
      </c>
      <c r="AX789" s="3" t="s">
        <v>8604</v>
      </c>
      <c r="AY789" s="3" t="s">
        <v>8605</v>
      </c>
      <c r="AZ789" s="3" t="s">
        <v>75</v>
      </c>
      <c r="BB789" s="3" t="s">
        <v>8606</v>
      </c>
      <c r="BC789" s="3" t="s">
        <v>8607</v>
      </c>
      <c r="BD789" s="3" t="s">
        <v>8608</v>
      </c>
    </row>
    <row r="790" spans="1:56" ht="44.25" customHeight="1" x14ac:dyDescent="0.25">
      <c r="A790" s="7" t="s">
        <v>61</v>
      </c>
      <c r="B790" s="2" t="s">
        <v>8609</v>
      </c>
      <c r="C790" s="2" t="s">
        <v>8610</v>
      </c>
      <c r="D790" s="2" t="s">
        <v>8611</v>
      </c>
      <c r="F790" s="3" t="s">
        <v>61</v>
      </c>
      <c r="G790" s="3" t="s">
        <v>60</v>
      </c>
      <c r="H790" s="3" t="s">
        <v>61</v>
      </c>
      <c r="I790" s="3" t="s">
        <v>61</v>
      </c>
      <c r="J790" s="3" t="s">
        <v>62</v>
      </c>
      <c r="K790" s="2" t="s">
        <v>8612</v>
      </c>
      <c r="L790" s="2" t="s">
        <v>8613</v>
      </c>
      <c r="M790" s="3" t="s">
        <v>552</v>
      </c>
      <c r="N790" s="2" t="s">
        <v>634</v>
      </c>
      <c r="O790" s="3" t="s">
        <v>114</v>
      </c>
      <c r="P790" s="3" t="s">
        <v>235</v>
      </c>
      <c r="R790" s="3" t="s">
        <v>68</v>
      </c>
      <c r="S790" s="4">
        <v>3</v>
      </c>
      <c r="T790" s="4">
        <v>3</v>
      </c>
      <c r="U790" s="5" t="s">
        <v>2434</v>
      </c>
      <c r="V790" s="5" t="s">
        <v>2434</v>
      </c>
      <c r="W790" s="5" t="s">
        <v>8614</v>
      </c>
      <c r="X790" s="5" t="s">
        <v>8614</v>
      </c>
      <c r="Y790" s="4">
        <v>535</v>
      </c>
      <c r="Z790" s="4">
        <v>473</v>
      </c>
      <c r="AA790" s="4">
        <v>478</v>
      </c>
      <c r="AB790" s="4">
        <v>5</v>
      </c>
      <c r="AC790" s="4">
        <v>5</v>
      </c>
      <c r="AD790" s="4">
        <v>19</v>
      </c>
      <c r="AE790" s="4">
        <v>19</v>
      </c>
      <c r="AF790" s="4">
        <v>5</v>
      </c>
      <c r="AG790" s="4">
        <v>5</v>
      </c>
      <c r="AH790" s="4">
        <v>5</v>
      </c>
      <c r="AI790" s="4">
        <v>5</v>
      </c>
      <c r="AJ790" s="4">
        <v>11</v>
      </c>
      <c r="AK790" s="4">
        <v>11</v>
      </c>
      <c r="AL790" s="4">
        <v>4</v>
      </c>
      <c r="AM790" s="4">
        <v>4</v>
      </c>
      <c r="AN790" s="4">
        <v>0</v>
      </c>
      <c r="AO790" s="4">
        <v>0</v>
      </c>
      <c r="AP790" s="3" t="s">
        <v>61</v>
      </c>
      <c r="AQ790" s="3" t="s">
        <v>61</v>
      </c>
      <c r="AS790" s="6" t="str">
        <f>HYPERLINK("https://creighton-primo.hosted.exlibrisgroup.com/primo-explore/search?tab=default_tab&amp;search_scope=EVERYTHING&amp;vid=01CRU&amp;lang=en_US&amp;offset=0&amp;query=any,contains,991001434869702656","Catalog Record")</f>
        <v>Catalog Record</v>
      </c>
      <c r="AT790" s="6" t="str">
        <f>HYPERLINK("http://www.worldcat.org/oclc/19127449","WorldCat Record")</f>
        <v>WorldCat Record</v>
      </c>
      <c r="AU790" s="3" t="s">
        <v>8615</v>
      </c>
      <c r="AV790" s="3" t="s">
        <v>8616</v>
      </c>
      <c r="AW790" s="3" t="s">
        <v>8617</v>
      </c>
      <c r="AX790" s="3" t="s">
        <v>8617</v>
      </c>
      <c r="AY790" s="3" t="s">
        <v>8618</v>
      </c>
      <c r="AZ790" s="3" t="s">
        <v>75</v>
      </c>
      <c r="BB790" s="3" t="s">
        <v>8619</v>
      </c>
      <c r="BC790" s="3" t="s">
        <v>8620</v>
      </c>
      <c r="BD790" s="3" t="s">
        <v>8621</v>
      </c>
    </row>
    <row r="791" spans="1:56" ht="44.25" customHeight="1" x14ac:dyDescent="0.25">
      <c r="A791" s="7" t="s">
        <v>61</v>
      </c>
      <c r="B791" s="2" t="s">
        <v>8622</v>
      </c>
      <c r="C791" s="2" t="s">
        <v>8623</v>
      </c>
      <c r="D791" s="2" t="s">
        <v>8624</v>
      </c>
      <c r="F791" s="3" t="s">
        <v>61</v>
      </c>
      <c r="G791" s="3" t="s">
        <v>60</v>
      </c>
      <c r="H791" s="3" t="s">
        <v>61</v>
      </c>
      <c r="I791" s="3" t="s">
        <v>61</v>
      </c>
      <c r="J791" s="3" t="s">
        <v>62</v>
      </c>
      <c r="K791" s="2" t="s">
        <v>8625</v>
      </c>
      <c r="L791" s="2" t="s">
        <v>8626</v>
      </c>
      <c r="M791" s="3" t="s">
        <v>796</v>
      </c>
      <c r="O791" s="3" t="s">
        <v>114</v>
      </c>
      <c r="P791" s="3" t="s">
        <v>235</v>
      </c>
      <c r="R791" s="3" t="s">
        <v>68</v>
      </c>
      <c r="S791" s="4">
        <v>1</v>
      </c>
      <c r="T791" s="4">
        <v>1</v>
      </c>
      <c r="U791" s="5" t="s">
        <v>8627</v>
      </c>
      <c r="V791" s="5" t="s">
        <v>8627</v>
      </c>
      <c r="W791" s="5" t="s">
        <v>8628</v>
      </c>
      <c r="X791" s="5" t="s">
        <v>8628</v>
      </c>
      <c r="Y791" s="4">
        <v>630</v>
      </c>
      <c r="Z791" s="4">
        <v>552</v>
      </c>
      <c r="AA791" s="4">
        <v>559</v>
      </c>
      <c r="AB791" s="4">
        <v>3</v>
      </c>
      <c r="AC791" s="4">
        <v>3</v>
      </c>
      <c r="AD791" s="4">
        <v>26</v>
      </c>
      <c r="AE791" s="4">
        <v>26</v>
      </c>
      <c r="AF791" s="4">
        <v>10</v>
      </c>
      <c r="AG791" s="4">
        <v>10</v>
      </c>
      <c r="AH791" s="4">
        <v>6</v>
      </c>
      <c r="AI791" s="4">
        <v>6</v>
      </c>
      <c r="AJ791" s="4">
        <v>14</v>
      </c>
      <c r="AK791" s="4">
        <v>14</v>
      </c>
      <c r="AL791" s="4">
        <v>2</v>
      </c>
      <c r="AM791" s="4">
        <v>2</v>
      </c>
      <c r="AN791" s="4">
        <v>1</v>
      </c>
      <c r="AO791" s="4">
        <v>1</v>
      </c>
      <c r="AP791" s="3" t="s">
        <v>61</v>
      </c>
      <c r="AQ791" s="3" t="s">
        <v>59</v>
      </c>
      <c r="AR791" s="6" t="str">
        <f>HYPERLINK("http://catalog.hathitrust.org/Record/000843227","HathiTrust Record")</f>
        <v>HathiTrust Record</v>
      </c>
      <c r="AS791" s="6" t="str">
        <f>HYPERLINK("https://creighton-primo.hosted.exlibrisgroup.com/primo-explore/search?tab=default_tab&amp;search_scope=EVERYTHING&amp;vid=01CRU&amp;lang=en_US&amp;offset=0&amp;query=any,contains,991001142929702656","Catalog Record")</f>
        <v>Catalog Record</v>
      </c>
      <c r="AT791" s="6" t="str">
        <f>HYPERLINK("http://www.worldcat.org/oclc/16754664","WorldCat Record")</f>
        <v>WorldCat Record</v>
      </c>
      <c r="AU791" s="3" t="s">
        <v>8629</v>
      </c>
      <c r="AV791" s="3" t="s">
        <v>8630</v>
      </c>
      <c r="AW791" s="3" t="s">
        <v>8631</v>
      </c>
      <c r="AX791" s="3" t="s">
        <v>8631</v>
      </c>
      <c r="AY791" s="3" t="s">
        <v>8632</v>
      </c>
      <c r="AZ791" s="3" t="s">
        <v>75</v>
      </c>
      <c r="BB791" s="3" t="s">
        <v>8633</v>
      </c>
      <c r="BC791" s="3" t="s">
        <v>8634</v>
      </c>
      <c r="BD791" s="3" t="s">
        <v>8635</v>
      </c>
    </row>
    <row r="792" spans="1:56" ht="44.25" customHeight="1" x14ac:dyDescent="0.25">
      <c r="A792" s="7" t="s">
        <v>61</v>
      </c>
      <c r="B792" s="2" t="s">
        <v>8636</v>
      </c>
      <c r="C792" s="2" t="s">
        <v>8637</v>
      </c>
      <c r="D792" s="2" t="s">
        <v>8638</v>
      </c>
      <c r="F792" s="3" t="s">
        <v>61</v>
      </c>
      <c r="G792" s="3" t="s">
        <v>60</v>
      </c>
      <c r="H792" s="3" t="s">
        <v>61</v>
      </c>
      <c r="I792" s="3" t="s">
        <v>61</v>
      </c>
      <c r="J792" s="3" t="s">
        <v>62</v>
      </c>
      <c r="K792" s="2" t="s">
        <v>8639</v>
      </c>
      <c r="L792" s="2" t="s">
        <v>8640</v>
      </c>
      <c r="M792" s="3" t="s">
        <v>436</v>
      </c>
      <c r="O792" s="3" t="s">
        <v>114</v>
      </c>
      <c r="P792" s="3" t="s">
        <v>6440</v>
      </c>
      <c r="Q792" s="2" t="s">
        <v>6441</v>
      </c>
      <c r="R792" s="3" t="s">
        <v>68</v>
      </c>
      <c r="S792" s="4">
        <v>2</v>
      </c>
      <c r="T792" s="4">
        <v>2</v>
      </c>
      <c r="U792" s="5" t="s">
        <v>8641</v>
      </c>
      <c r="V792" s="5" t="s">
        <v>8641</v>
      </c>
      <c r="W792" s="5" t="s">
        <v>8642</v>
      </c>
      <c r="X792" s="5" t="s">
        <v>8642</v>
      </c>
      <c r="Y792" s="4">
        <v>483</v>
      </c>
      <c r="Z792" s="4">
        <v>410</v>
      </c>
      <c r="AA792" s="4">
        <v>521</v>
      </c>
      <c r="AB792" s="4">
        <v>5</v>
      </c>
      <c r="AC792" s="4">
        <v>5</v>
      </c>
      <c r="AD792" s="4">
        <v>29</v>
      </c>
      <c r="AE792" s="4">
        <v>30</v>
      </c>
      <c r="AF792" s="4">
        <v>12</v>
      </c>
      <c r="AG792" s="4">
        <v>13</v>
      </c>
      <c r="AH792" s="4">
        <v>7</v>
      </c>
      <c r="AI792" s="4">
        <v>7</v>
      </c>
      <c r="AJ792" s="4">
        <v>14</v>
      </c>
      <c r="AK792" s="4">
        <v>14</v>
      </c>
      <c r="AL792" s="4">
        <v>4</v>
      </c>
      <c r="AM792" s="4">
        <v>4</v>
      </c>
      <c r="AN792" s="4">
        <v>1</v>
      </c>
      <c r="AO792" s="4">
        <v>1</v>
      </c>
      <c r="AP792" s="3" t="s">
        <v>61</v>
      </c>
      <c r="AQ792" s="3" t="s">
        <v>59</v>
      </c>
      <c r="AR792" s="6" t="str">
        <f>HYPERLINK("http://catalog.hathitrust.org/Record/002215424","HathiTrust Record")</f>
        <v>HathiTrust Record</v>
      </c>
      <c r="AS792" s="6" t="str">
        <f>HYPERLINK("https://creighton-primo.hosted.exlibrisgroup.com/primo-explore/search?tab=default_tab&amp;search_scope=EVERYTHING&amp;vid=01CRU&amp;lang=en_US&amp;offset=0&amp;query=any,contains,991001698219702656","Catalog Record")</f>
        <v>Catalog Record</v>
      </c>
      <c r="AT792" s="6" t="str">
        <f>HYPERLINK("http://www.worldcat.org/oclc/21517471","WorldCat Record")</f>
        <v>WorldCat Record</v>
      </c>
      <c r="AU792" s="3" t="s">
        <v>8643</v>
      </c>
      <c r="AV792" s="3" t="s">
        <v>8644</v>
      </c>
      <c r="AW792" s="3" t="s">
        <v>8645</v>
      </c>
      <c r="AX792" s="3" t="s">
        <v>8645</v>
      </c>
      <c r="AY792" s="3" t="s">
        <v>8646</v>
      </c>
      <c r="AZ792" s="3" t="s">
        <v>75</v>
      </c>
      <c r="BB792" s="3" t="s">
        <v>8647</v>
      </c>
      <c r="BC792" s="3" t="s">
        <v>8648</v>
      </c>
      <c r="BD792" s="3" t="s">
        <v>8649</v>
      </c>
    </row>
    <row r="793" spans="1:56" ht="44.25" customHeight="1" x14ac:dyDescent="0.25">
      <c r="A793" s="7" t="s">
        <v>61</v>
      </c>
      <c r="B793" s="2" t="s">
        <v>8650</v>
      </c>
      <c r="C793" s="2" t="s">
        <v>8651</v>
      </c>
      <c r="D793" s="2" t="s">
        <v>8652</v>
      </c>
      <c r="F793" s="3" t="s">
        <v>61</v>
      </c>
      <c r="G793" s="3" t="s">
        <v>60</v>
      </c>
      <c r="H793" s="3" t="s">
        <v>61</v>
      </c>
      <c r="I793" s="3" t="s">
        <v>61</v>
      </c>
      <c r="J793" s="3" t="s">
        <v>62</v>
      </c>
      <c r="K793" s="2" t="s">
        <v>8653</v>
      </c>
      <c r="L793" s="2" t="s">
        <v>8654</v>
      </c>
      <c r="M793" s="3" t="s">
        <v>1376</v>
      </c>
      <c r="O793" s="3" t="s">
        <v>114</v>
      </c>
      <c r="P793" s="3" t="s">
        <v>364</v>
      </c>
      <c r="R793" s="3" t="s">
        <v>68</v>
      </c>
      <c r="S793" s="4">
        <v>6</v>
      </c>
      <c r="T793" s="4">
        <v>6</v>
      </c>
      <c r="U793" s="5" t="s">
        <v>5111</v>
      </c>
      <c r="V793" s="5" t="s">
        <v>5111</v>
      </c>
      <c r="W793" s="5" t="s">
        <v>8655</v>
      </c>
      <c r="X793" s="5" t="s">
        <v>8655</v>
      </c>
      <c r="Y793" s="4">
        <v>1025</v>
      </c>
      <c r="Z793" s="4">
        <v>922</v>
      </c>
      <c r="AA793" s="4">
        <v>929</v>
      </c>
      <c r="AB793" s="4">
        <v>6</v>
      </c>
      <c r="AC793" s="4">
        <v>6</v>
      </c>
      <c r="AD793" s="4">
        <v>26</v>
      </c>
      <c r="AE793" s="4">
        <v>26</v>
      </c>
      <c r="AF793" s="4">
        <v>11</v>
      </c>
      <c r="AG793" s="4">
        <v>11</v>
      </c>
      <c r="AH793" s="4">
        <v>5</v>
      </c>
      <c r="AI793" s="4">
        <v>5</v>
      </c>
      <c r="AJ793" s="4">
        <v>10</v>
      </c>
      <c r="AK793" s="4">
        <v>10</v>
      </c>
      <c r="AL793" s="4">
        <v>5</v>
      </c>
      <c r="AM793" s="4">
        <v>5</v>
      </c>
      <c r="AN793" s="4">
        <v>0</v>
      </c>
      <c r="AO793" s="4">
        <v>0</v>
      </c>
      <c r="AP793" s="3" t="s">
        <v>61</v>
      </c>
      <c r="AQ793" s="3" t="s">
        <v>59</v>
      </c>
      <c r="AR793" s="6" t="str">
        <f>HYPERLINK("http://catalog.hathitrust.org/Record/000489851","HathiTrust Record")</f>
        <v>HathiTrust Record</v>
      </c>
      <c r="AS793" s="6" t="str">
        <f>HYPERLINK("https://creighton-primo.hosted.exlibrisgroup.com/primo-explore/search?tab=default_tab&amp;search_scope=EVERYTHING&amp;vid=01CRU&amp;lang=en_US&amp;offset=0&amp;query=any,contains,991000106489702656","Catalog Record")</f>
        <v>Catalog Record</v>
      </c>
      <c r="AT793" s="6" t="str">
        <f>HYPERLINK("http://www.worldcat.org/oclc/46657","WorldCat Record")</f>
        <v>WorldCat Record</v>
      </c>
      <c r="AU793" s="3" t="s">
        <v>8656</v>
      </c>
      <c r="AV793" s="3" t="s">
        <v>8657</v>
      </c>
      <c r="AW793" s="3" t="s">
        <v>8658</v>
      </c>
      <c r="AX793" s="3" t="s">
        <v>8658</v>
      </c>
      <c r="AY793" s="3" t="s">
        <v>8659</v>
      </c>
      <c r="AZ793" s="3" t="s">
        <v>75</v>
      </c>
      <c r="BC793" s="3" t="s">
        <v>8660</v>
      </c>
      <c r="BD793" s="3" t="s">
        <v>8661</v>
      </c>
    </row>
    <row r="794" spans="1:56" ht="44.25" customHeight="1" x14ac:dyDescent="0.25">
      <c r="A794" s="7" t="s">
        <v>61</v>
      </c>
      <c r="B794" s="2" t="s">
        <v>8662</v>
      </c>
      <c r="C794" s="2" t="s">
        <v>8663</v>
      </c>
      <c r="D794" s="2" t="s">
        <v>8664</v>
      </c>
      <c r="F794" s="3" t="s">
        <v>61</v>
      </c>
      <c r="G794" s="3" t="s">
        <v>60</v>
      </c>
      <c r="H794" s="3" t="s">
        <v>61</v>
      </c>
      <c r="I794" s="3" t="s">
        <v>61</v>
      </c>
      <c r="J794" s="3" t="s">
        <v>62</v>
      </c>
      <c r="K794" s="2" t="s">
        <v>8665</v>
      </c>
      <c r="L794" s="2" t="s">
        <v>8666</v>
      </c>
      <c r="M794" s="3" t="s">
        <v>1596</v>
      </c>
      <c r="N794" s="2" t="s">
        <v>634</v>
      </c>
      <c r="O794" s="3" t="s">
        <v>114</v>
      </c>
      <c r="P794" s="3" t="s">
        <v>235</v>
      </c>
      <c r="R794" s="3" t="s">
        <v>68</v>
      </c>
      <c r="S794" s="4">
        <v>6</v>
      </c>
      <c r="T794" s="4">
        <v>6</v>
      </c>
      <c r="U794" s="5" t="s">
        <v>8667</v>
      </c>
      <c r="V794" s="5" t="s">
        <v>8667</v>
      </c>
      <c r="W794" s="5" t="s">
        <v>8668</v>
      </c>
      <c r="X794" s="5" t="s">
        <v>8668</v>
      </c>
      <c r="Y794" s="4">
        <v>474</v>
      </c>
      <c r="Z794" s="4">
        <v>457</v>
      </c>
      <c r="AA794" s="4">
        <v>476</v>
      </c>
      <c r="AB794" s="4">
        <v>3</v>
      </c>
      <c r="AC794" s="4">
        <v>3</v>
      </c>
      <c r="AD794" s="4">
        <v>23</v>
      </c>
      <c r="AE794" s="4">
        <v>24</v>
      </c>
      <c r="AF794" s="4">
        <v>10</v>
      </c>
      <c r="AG794" s="4">
        <v>11</v>
      </c>
      <c r="AH794" s="4">
        <v>6</v>
      </c>
      <c r="AI794" s="4">
        <v>6</v>
      </c>
      <c r="AJ794" s="4">
        <v>13</v>
      </c>
      <c r="AK794" s="4">
        <v>13</v>
      </c>
      <c r="AL794" s="4">
        <v>1</v>
      </c>
      <c r="AM794" s="4">
        <v>1</v>
      </c>
      <c r="AN794" s="4">
        <v>0</v>
      </c>
      <c r="AO794" s="4">
        <v>0</v>
      </c>
      <c r="AP794" s="3" t="s">
        <v>61</v>
      </c>
      <c r="AQ794" s="3" t="s">
        <v>59</v>
      </c>
      <c r="AR794" s="6" t="str">
        <f>HYPERLINK("http://catalog.hathitrust.org/Record/000736750","HathiTrust Record")</f>
        <v>HathiTrust Record</v>
      </c>
      <c r="AS794" s="6" t="str">
        <f>HYPERLINK("https://creighton-primo.hosted.exlibrisgroup.com/primo-explore/search?tab=default_tab&amp;search_scope=EVERYTHING&amp;vid=01CRU&amp;lang=en_US&amp;offset=0&amp;query=any,contains,991004124889702656","Catalog Record")</f>
        <v>Catalog Record</v>
      </c>
      <c r="AT794" s="6" t="str">
        <f>HYPERLINK("http://www.worldcat.org/oclc/2440262","WorldCat Record")</f>
        <v>WorldCat Record</v>
      </c>
      <c r="AU794" s="3" t="s">
        <v>8669</v>
      </c>
      <c r="AV794" s="3" t="s">
        <v>8670</v>
      </c>
      <c r="AW794" s="3" t="s">
        <v>8671</v>
      </c>
      <c r="AX794" s="3" t="s">
        <v>8671</v>
      </c>
      <c r="AY794" s="3" t="s">
        <v>8672</v>
      </c>
      <c r="AZ794" s="3" t="s">
        <v>75</v>
      </c>
      <c r="BB794" s="3" t="s">
        <v>8673</v>
      </c>
      <c r="BC794" s="3" t="s">
        <v>8674</v>
      </c>
      <c r="BD794" s="3" t="s">
        <v>8675</v>
      </c>
    </row>
    <row r="795" spans="1:56" ht="44.25" customHeight="1" x14ac:dyDescent="0.25">
      <c r="A795" s="7" t="s">
        <v>61</v>
      </c>
      <c r="B795" s="2" t="s">
        <v>8676</v>
      </c>
      <c r="C795" s="2" t="s">
        <v>8677</v>
      </c>
      <c r="D795" s="2" t="s">
        <v>8678</v>
      </c>
      <c r="F795" s="3" t="s">
        <v>61</v>
      </c>
      <c r="G795" s="3" t="s">
        <v>60</v>
      </c>
      <c r="H795" s="3" t="s">
        <v>61</v>
      </c>
      <c r="I795" s="3" t="s">
        <v>61</v>
      </c>
      <c r="J795" s="3" t="s">
        <v>62</v>
      </c>
      <c r="K795" s="2" t="s">
        <v>8679</v>
      </c>
      <c r="L795" s="2" t="s">
        <v>8680</v>
      </c>
      <c r="M795" s="3" t="s">
        <v>1376</v>
      </c>
      <c r="O795" s="3" t="s">
        <v>114</v>
      </c>
      <c r="P795" s="3" t="s">
        <v>2432</v>
      </c>
      <c r="R795" s="3" t="s">
        <v>68</v>
      </c>
      <c r="S795" s="4">
        <v>2</v>
      </c>
      <c r="T795" s="4">
        <v>2</v>
      </c>
      <c r="U795" s="5" t="s">
        <v>8681</v>
      </c>
      <c r="V795" s="5" t="s">
        <v>8681</v>
      </c>
      <c r="W795" s="5" t="s">
        <v>8682</v>
      </c>
      <c r="X795" s="5" t="s">
        <v>8682</v>
      </c>
      <c r="Y795" s="4">
        <v>1149</v>
      </c>
      <c r="Z795" s="4">
        <v>1013</v>
      </c>
      <c r="AA795" s="4">
        <v>1104</v>
      </c>
      <c r="AB795" s="4">
        <v>7</v>
      </c>
      <c r="AC795" s="4">
        <v>9</v>
      </c>
      <c r="AD795" s="4">
        <v>49</v>
      </c>
      <c r="AE795" s="4">
        <v>54</v>
      </c>
      <c r="AF795" s="4">
        <v>21</v>
      </c>
      <c r="AG795" s="4">
        <v>24</v>
      </c>
      <c r="AH795" s="4">
        <v>9</v>
      </c>
      <c r="AI795" s="4">
        <v>10</v>
      </c>
      <c r="AJ795" s="4">
        <v>24</v>
      </c>
      <c r="AK795" s="4">
        <v>24</v>
      </c>
      <c r="AL795" s="4">
        <v>6</v>
      </c>
      <c r="AM795" s="4">
        <v>8</v>
      </c>
      <c r="AN795" s="4">
        <v>2</v>
      </c>
      <c r="AO795" s="4">
        <v>2</v>
      </c>
      <c r="AP795" s="3" t="s">
        <v>61</v>
      </c>
      <c r="AQ795" s="3" t="s">
        <v>59</v>
      </c>
      <c r="AR795" s="6" t="str">
        <f>HYPERLINK("http://catalog.hathitrust.org/Record/000490475","HathiTrust Record")</f>
        <v>HathiTrust Record</v>
      </c>
      <c r="AS795" s="6" t="str">
        <f>HYPERLINK("https://creighton-primo.hosted.exlibrisgroup.com/primo-explore/search?tab=default_tab&amp;search_scope=EVERYTHING&amp;vid=01CRU&amp;lang=en_US&amp;offset=0&amp;query=any,contains,991000003659702656","Catalog Record")</f>
        <v>Catalog Record</v>
      </c>
      <c r="AT795" s="6" t="str">
        <f>HYPERLINK("http://www.worldcat.org/oclc/12228","WorldCat Record")</f>
        <v>WorldCat Record</v>
      </c>
      <c r="AU795" s="3" t="s">
        <v>8683</v>
      </c>
      <c r="AV795" s="3" t="s">
        <v>8684</v>
      </c>
      <c r="AW795" s="3" t="s">
        <v>8685</v>
      </c>
      <c r="AX795" s="3" t="s">
        <v>8685</v>
      </c>
      <c r="AY795" s="3" t="s">
        <v>8686</v>
      </c>
      <c r="AZ795" s="3" t="s">
        <v>75</v>
      </c>
      <c r="BB795" s="3" t="s">
        <v>8687</v>
      </c>
      <c r="BC795" s="3" t="s">
        <v>8688</v>
      </c>
      <c r="BD795" s="3" t="s">
        <v>8689</v>
      </c>
    </row>
    <row r="796" spans="1:56" ht="44.25" customHeight="1" x14ac:dyDescent="0.25">
      <c r="A796" s="7" t="s">
        <v>61</v>
      </c>
      <c r="B796" s="2" t="s">
        <v>8690</v>
      </c>
      <c r="C796" s="2" t="s">
        <v>8691</v>
      </c>
      <c r="D796" s="2" t="s">
        <v>8692</v>
      </c>
      <c r="F796" s="3" t="s">
        <v>61</v>
      </c>
      <c r="G796" s="3" t="s">
        <v>60</v>
      </c>
      <c r="H796" s="3" t="s">
        <v>61</v>
      </c>
      <c r="I796" s="3" t="s">
        <v>61</v>
      </c>
      <c r="J796" s="3" t="s">
        <v>62</v>
      </c>
      <c r="K796" s="2" t="s">
        <v>8693</v>
      </c>
      <c r="L796" s="2" t="s">
        <v>8694</v>
      </c>
      <c r="M796" s="3" t="s">
        <v>1596</v>
      </c>
      <c r="N796" s="2" t="s">
        <v>8695</v>
      </c>
      <c r="O796" s="3" t="s">
        <v>114</v>
      </c>
      <c r="P796" s="3" t="s">
        <v>235</v>
      </c>
      <c r="R796" s="3" t="s">
        <v>68</v>
      </c>
      <c r="S796" s="4">
        <v>7</v>
      </c>
      <c r="T796" s="4">
        <v>7</v>
      </c>
      <c r="U796" s="5" t="s">
        <v>7471</v>
      </c>
      <c r="V796" s="5" t="s">
        <v>7471</v>
      </c>
      <c r="W796" s="5" t="s">
        <v>8696</v>
      </c>
      <c r="X796" s="5" t="s">
        <v>8696</v>
      </c>
      <c r="Y796" s="4">
        <v>2106</v>
      </c>
      <c r="Z796" s="4">
        <v>1972</v>
      </c>
      <c r="AA796" s="4">
        <v>1998</v>
      </c>
      <c r="AB796" s="4">
        <v>21</v>
      </c>
      <c r="AC796" s="4">
        <v>21</v>
      </c>
      <c r="AD796" s="4">
        <v>56</v>
      </c>
      <c r="AE796" s="4">
        <v>56</v>
      </c>
      <c r="AF796" s="4">
        <v>23</v>
      </c>
      <c r="AG796" s="4">
        <v>23</v>
      </c>
      <c r="AH796" s="4">
        <v>10</v>
      </c>
      <c r="AI796" s="4">
        <v>10</v>
      </c>
      <c r="AJ796" s="4">
        <v>21</v>
      </c>
      <c r="AK796" s="4">
        <v>21</v>
      </c>
      <c r="AL796" s="4">
        <v>14</v>
      </c>
      <c r="AM796" s="4">
        <v>14</v>
      </c>
      <c r="AN796" s="4">
        <v>1</v>
      </c>
      <c r="AO796" s="4">
        <v>1</v>
      </c>
      <c r="AP796" s="3" t="s">
        <v>61</v>
      </c>
      <c r="AQ796" s="3" t="s">
        <v>61</v>
      </c>
      <c r="AS796" s="6" t="str">
        <f>HYPERLINK("https://creighton-primo.hosted.exlibrisgroup.com/primo-explore/search?tab=default_tab&amp;search_scope=EVERYTHING&amp;vid=01CRU&amp;lang=en_US&amp;offset=0&amp;query=any,contains,991004066349702656","Catalog Record")</f>
        <v>Catalog Record</v>
      </c>
      <c r="AT796" s="6" t="str">
        <f>HYPERLINK("http://www.worldcat.org/oclc/2284149","WorldCat Record")</f>
        <v>WorldCat Record</v>
      </c>
      <c r="AU796" s="3" t="s">
        <v>8697</v>
      </c>
      <c r="AV796" s="3" t="s">
        <v>8698</v>
      </c>
      <c r="AW796" s="3" t="s">
        <v>8699</v>
      </c>
      <c r="AX796" s="3" t="s">
        <v>8699</v>
      </c>
      <c r="AY796" s="3" t="s">
        <v>8700</v>
      </c>
      <c r="AZ796" s="3" t="s">
        <v>75</v>
      </c>
      <c r="BB796" s="3" t="s">
        <v>8701</v>
      </c>
      <c r="BC796" s="3" t="s">
        <v>8702</v>
      </c>
      <c r="BD796" s="3" t="s">
        <v>8703</v>
      </c>
    </row>
    <row r="797" spans="1:56" ht="44.25" customHeight="1" x14ac:dyDescent="0.25">
      <c r="A797" s="7" t="s">
        <v>61</v>
      </c>
      <c r="B797" s="2" t="s">
        <v>8704</v>
      </c>
      <c r="C797" s="2" t="s">
        <v>8705</v>
      </c>
      <c r="D797" s="2" t="s">
        <v>8706</v>
      </c>
      <c r="F797" s="3" t="s">
        <v>61</v>
      </c>
      <c r="G797" s="3" t="s">
        <v>60</v>
      </c>
      <c r="H797" s="3" t="s">
        <v>61</v>
      </c>
      <c r="I797" s="3" t="s">
        <v>61</v>
      </c>
      <c r="J797" s="3" t="s">
        <v>62</v>
      </c>
      <c r="K797" s="2" t="s">
        <v>8707</v>
      </c>
      <c r="L797" s="2" t="s">
        <v>8708</v>
      </c>
      <c r="M797" s="3" t="s">
        <v>466</v>
      </c>
      <c r="N797" s="2" t="s">
        <v>634</v>
      </c>
      <c r="O797" s="3" t="s">
        <v>114</v>
      </c>
      <c r="P797" s="3" t="s">
        <v>1759</v>
      </c>
      <c r="R797" s="3" t="s">
        <v>68</v>
      </c>
      <c r="S797" s="4">
        <v>6</v>
      </c>
      <c r="T797" s="4">
        <v>6</v>
      </c>
      <c r="U797" s="5" t="s">
        <v>7287</v>
      </c>
      <c r="V797" s="5" t="s">
        <v>7287</v>
      </c>
      <c r="W797" s="5" t="s">
        <v>8696</v>
      </c>
      <c r="X797" s="5" t="s">
        <v>8696</v>
      </c>
      <c r="Y797" s="4">
        <v>546</v>
      </c>
      <c r="Z797" s="4">
        <v>468</v>
      </c>
      <c r="AA797" s="4">
        <v>469</v>
      </c>
      <c r="AB797" s="4">
        <v>3</v>
      </c>
      <c r="AC797" s="4">
        <v>3</v>
      </c>
      <c r="AD797" s="4">
        <v>19</v>
      </c>
      <c r="AE797" s="4">
        <v>19</v>
      </c>
      <c r="AF797" s="4">
        <v>6</v>
      </c>
      <c r="AG797" s="4">
        <v>6</v>
      </c>
      <c r="AH797" s="4">
        <v>6</v>
      </c>
      <c r="AI797" s="4">
        <v>6</v>
      </c>
      <c r="AJ797" s="4">
        <v>11</v>
      </c>
      <c r="AK797" s="4">
        <v>11</v>
      </c>
      <c r="AL797" s="4">
        <v>2</v>
      </c>
      <c r="AM797" s="4">
        <v>2</v>
      </c>
      <c r="AN797" s="4">
        <v>0</v>
      </c>
      <c r="AO797" s="4">
        <v>0</v>
      </c>
      <c r="AP797" s="3" t="s">
        <v>61</v>
      </c>
      <c r="AQ797" s="3" t="s">
        <v>61</v>
      </c>
      <c r="AS797" s="6" t="str">
        <f>HYPERLINK("https://creighton-primo.hosted.exlibrisgroup.com/primo-explore/search?tab=default_tab&amp;search_scope=EVERYTHING&amp;vid=01CRU&amp;lang=en_US&amp;offset=0&amp;query=any,contains,991004314129702656","Catalog Record")</f>
        <v>Catalog Record</v>
      </c>
      <c r="AT797" s="6" t="str">
        <f>HYPERLINK("http://www.worldcat.org/oclc/3002775","WorldCat Record")</f>
        <v>WorldCat Record</v>
      </c>
      <c r="AU797" s="3" t="s">
        <v>8709</v>
      </c>
      <c r="AV797" s="3" t="s">
        <v>8710</v>
      </c>
      <c r="AW797" s="3" t="s">
        <v>8711</v>
      </c>
      <c r="AX797" s="3" t="s">
        <v>8711</v>
      </c>
      <c r="AY797" s="3" t="s">
        <v>8712</v>
      </c>
      <c r="AZ797" s="3" t="s">
        <v>75</v>
      </c>
      <c r="BB797" s="3" t="s">
        <v>8713</v>
      </c>
      <c r="BC797" s="3" t="s">
        <v>8714</v>
      </c>
      <c r="BD797" s="3" t="s">
        <v>8715</v>
      </c>
    </row>
    <row r="798" spans="1:56" ht="44.25" customHeight="1" x14ac:dyDescent="0.25">
      <c r="A798" s="7" t="s">
        <v>61</v>
      </c>
      <c r="B798" s="2" t="s">
        <v>8716</v>
      </c>
      <c r="C798" s="2" t="s">
        <v>8717</v>
      </c>
      <c r="D798" s="2" t="s">
        <v>8718</v>
      </c>
      <c r="F798" s="3" t="s">
        <v>61</v>
      </c>
      <c r="G798" s="3" t="s">
        <v>60</v>
      </c>
      <c r="H798" s="3" t="s">
        <v>61</v>
      </c>
      <c r="I798" s="3" t="s">
        <v>61</v>
      </c>
      <c r="J798" s="3" t="s">
        <v>62</v>
      </c>
      <c r="K798" s="2" t="s">
        <v>8719</v>
      </c>
      <c r="L798" s="2" t="s">
        <v>8720</v>
      </c>
      <c r="M798" s="3" t="s">
        <v>1976</v>
      </c>
      <c r="N798" s="2" t="s">
        <v>634</v>
      </c>
      <c r="O798" s="3" t="s">
        <v>114</v>
      </c>
      <c r="P798" s="3" t="s">
        <v>235</v>
      </c>
      <c r="R798" s="3" t="s">
        <v>68</v>
      </c>
      <c r="S798" s="4">
        <v>2</v>
      </c>
      <c r="T798" s="4">
        <v>2</v>
      </c>
      <c r="U798" s="5" t="s">
        <v>8721</v>
      </c>
      <c r="V798" s="5" t="s">
        <v>8721</v>
      </c>
      <c r="W798" s="5" t="s">
        <v>8721</v>
      </c>
      <c r="X798" s="5" t="s">
        <v>8721</v>
      </c>
      <c r="Y798" s="4">
        <v>2142</v>
      </c>
      <c r="Z798" s="4">
        <v>2050</v>
      </c>
      <c r="AA798" s="4">
        <v>2465</v>
      </c>
      <c r="AB798" s="4">
        <v>19</v>
      </c>
      <c r="AC798" s="4">
        <v>30</v>
      </c>
      <c r="AD798" s="4">
        <v>41</v>
      </c>
      <c r="AE798" s="4">
        <v>50</v>
      </c>
      <c r="AF798" s="4">
        <v>19</v>
      </c>
      <c r="AG798" s="4">
        <v>21</v>
      </c>
      <c r="AH798" s="4">
        <v>8</v>
      </c>
      <c r="AI798" s="4">
        <v>8</v>
      </c>
      <c r="AJ798" s="4">
        <v>18</v>
      </c>
      <c r="AK798" s="4">
        <v>18</v>
      </c>
      <c r="AL798" s="4">
        <v>6</v>
      </c>
      <c r="AM798" s="4">
        <v>13</v>
      </c>
      <c r="AN798" s="4">
        <v>1</v>
      </c>
      <c r="AO798" s="4">
        <v>1</v>
      </c>
      <c r="AP798" s="3" t="s">
        <v>61</v>
      </c>
      <c r="AQ798" s="3" t="s">
        <v>59</v>
      </c>
      <c r="AR798" s="6" t="str">
        <f>HYPERLINK("http://catalog.hathitrust.org/Record/004360671","HathiTrust Record")</f>
        <v>HathiTrust Record</v>
      </c>
      <c r="AS798" s="6" t="str">
        <f>HYPERLINK("https://creighton-primo.hosted.exlibrisgroup.com/primo-explore/search?tab=default_tab&amp;search_scope=EVERYTHING&amp;vid=01CRU&amp;lang=en_US&amp;offset=0&amp;query=any,contains,991004174459702656","Catalog Record")</f>
        <v>Catalog Record</v>
      </c>
      <c r="AT798" s="6" t="str">
        <f>HYPERLINK("http://www.worldcat.org/oclc/51476868","WorldCat Record")</f>
        <v>WorldCat Record</v>
      </c>
      <c r="AU798" s="3" t="s">
        <v>8722</v>
      </c>
      <c r="AV798" s="3" t="s">
        <v>8723</v>
      </c>
      <c r="AW798" s="3" t="s">
        <v>8724</v>
      </c>
      <c r="AX798" s="3" t="s">
        <v>8724</v>
      </c>
      <c r="AY798" s="3" t="s">
        <v>8725</v>
      </c>
      <c r="AZ798" s="3" t="s">
        <v>75</v>
      </c>
      <c r="BB798" s="3" t="s">
        <v>8726</v>
      </c>
      <c r="BC798" s="3" t="s">
        <v>8727</v>
      </c>
      <c r="BD798" s="3" t="s">
        <v>8728</v>
      </c>
    </row>
    <row r="799" spans="1:56" ht="44.25" customHeight="1" x14ac:dyDescent="0.25">
      <c r="A799" s="7" t="s">
        <v>61</v>
      </c>
      <c r="B799" s="2" t="s">
        <v>8729</v>
      </c>
      <c r="C799" s="2" t="s">
        <v>8730</v>
      </c>
      <c r="D799" s="2" t="s">
        <v>8731</v>
      </c>
      <c r="F799" s="3" t="s">
        <v>61</v>
      </c>
      <c r="G799" s="3" t="s">
        <v>60</v>
      </c>
      <c r="H799" s="3" t="s">
        <v>61</v>
      </c>
      <c r="I799" s="3" t="s">
        <v>61</v>
      </c>
      <c r="J799" s="3" t="s">
        <v>62</v>
      </c>
      <c r="K799" s="2" t="s">
        <v>8732</v>
      </c>
      <c r="L799" s="2" t="s">
        <v>8733</v>
      </c>
      <c r="M799" s="3" t="s">
        <v>3279</v>
      </c>
      <c r="O799" s="3" t="s">
        <v>114</v>
      </c>
      <c r="P799" s="3" t="s">
        <v>235</v>
      </c>
      <c r="Q799" s="2" t="s">
        <v>8734</v>
      </c>
      <c r="R799" s="3" t="s">
        <v>68</v>
      </c>
      <c r="S799" s="4">
        <v>18</v>
      </c>
      <c r="T799" s="4">
        <v>18</v>
      </c>
      <c r="U799" s="5" t="s">
        <v>8144</v>
      </c>
      <c r="V799" s="5" t="s">
        <v>8144</v>
      </c>
      <c r="W799" s="5" t="s">
        <v>8735</v>
      </c>
      <c r="X799" s="5" t="s">
        <v>8735</v>
      </c>
      <c r="Y799" s="4">
        <v>699</v>
      </c>
      <c r="Z799" s="4">
        <v>602</v>
      </c>
      <c r="AA799" s="4">
        <v>694</v>
      </c>
      <c r="AB799" s="4">
        <v>5</v>
      </c>
      <c r="AC799" s="4">
        <v>6</v>
      </c>
      <c r="AD799" s="4">
        <v>30</v>
      </c>
      <c r="AE799" s="4">
        <v>36</v>
      </c>
      <c r="AF799" s="4">
        <v>11</v>
      </c>
      <c r="AG799" s="4">
        <v>14</v>
      </c>
      <c r="AH799" s="4">
        <v>8</v>
      </c>
      <c r="AI799" s="4">
        <v>9</v>
      </c>
      <c r="AJ799" s="4">
        <v>15</v>
      </c>
      <c r="AK799" s="4">
        <v>17</v>
      </c>
      <c r="AL799" s="4">
        <v>4</v>
      </c>
      <c r="AM799" s="4">
        <v>5</v>
      </c>
      <c r="AN799" s="4">
        <v>1</v>
      </c>
      <c r="AO799" s="4">
        <v>1</v>
      </c>
      <c r="AP799" s="3" t="s">
        <v>61</v>
      </c>
      <c r="AQ799" s="3" t="s">
        <v>59</v>
      </c>
      <c r="AR799" s="6" t="str">
        <f>HYPERLINK("http://catalog.hathitrust.org/Record/000487074","HathiTrust Record")</f>
        <v>HathiTrust Record</v>
      </c>
      <c r="AS799" s="6" t="str">
        <f>HYPERLINK("https://creighton-primo.hosted.exlibrisgroup.com/primo-explore/search?tab=default_tab&amp;search_scope=EVERYTHING&amp;vid=01CRU&amp;lang=en_US&amp;offset=0&amp;query=any,contains,991002007679702656","Catalog Record")</f>
        <v>Catalog Record</v>
      </c>
      <c r="AT799" s="6" t="str">
        <f>HYPERLINK("http://www.worldcat.org/oclc/258559","WorldCat Record")</f>
        <v>WorldCat Record</v>
      </c>
      <c r="AU799" s="3" t="s">
        <v>8736</v>
      </c>
      <c r="AV799" s="3" t="s">
        <v>8737</v>
      </c>
      <c r="AW799" s="3" t="s">
        <v>8738</v>
      </c>
      <c r="AX799" s="3" t="s">
        <v>8738</v>
      </c>
      <c r="AY799" s="3" t="s">
        <v>8739</v>
      </c>
      <c r="AZ799" s="3" t="s">
        <v>75</v>
      </c>
      <c r="BB799" s="3" t="s">
        <v>8740</v>
      </c>
      <c r="BC799" s="3" t="s">
        <v>8741</v>
      </c>
      <c r="BD799" s="3" t="s">
        <v>8742</v>
      </c>
    </row>
    <row r="800" spans="1:56" ht="44.25" customHeight="1" x14ac:dyDescent="0.25">
      <c r="A800" s="7" t="s">
        <v>61</v>
      </c>
      <c r="B800" s="2" t="s">
        <v>8743</v>
      </c>
      <c r="C800" s="2" t="s">
        <v>8744</v>
      </c>
      <c r="D800" s="2" t="s">
        <v>8745</v>
      </c>
      <c r="F800" s="3" t="s">
        <v>61</v>
      </c>
      <c r="G800" s="3" t="s">
        <v>60</v>
      </c>
      <c r="H800" s="3" t="s">
        <v>61</v>
      </c>
      <c r="I800" s="3" t="s">
        <v>61</v>
      </c>
      <c r="J800" s="3" t="s">
        <v>62</v>
      </c>
      <c r="K800" s="2" t="s">
        <v>8746</v>
      </c>
      <c r="L800" s="2" t="s">
        <v>8747</v>
      </c>
      <c r="M800" s="3" t="s">
        <v>3365</v>
      </c>
      <c r="O800" s="3" t="s">
        <v>114</v>
      </c>
      <c r="P800" s="3" t="s">
        <v>115</v>
      </c>
      <c r="R800" s="3" t="s">
        <v>68</v>
      </c>
      <c r="S800" s="4">
        <v>5</v>
      </c>
      <c r="T800" s="4">
        <v>5</v>
      </c>
      <c r="U800" s="5" t="s">
        <v>7208</v>
      </c>
      <c r="V800" s="5" t="s">
        <v>7208</v>
      </c>
      <c r="W800" s="5" t="s">
        <v>6469</v>
      </c>
      <c r="X800" s="5" t="s">
        <v>6469</v>
      </c>
      <c r="Y800" s="4">
        <v>221</v>
      </c>
      <c r="Z800" s="4">
        <v>214</v>
      </c>
      <c r="AA800" s="4">
        <v>229</v>
      </c>
      <c r="AB800" s="4">
        <v>4</v>
      </c>
      <c r="AC800" s="4">
        <v>4</v>
      </c>
      <c r="AD800" s="4">
        <v>14</v>
      </c>
      <c r="AE800" s="4">
        <v>14</v>
      </c>
      <c r="AF800" s="4">
        <v>3</v>
      </c>
      <c r="AG800" s="4">
        <v>3</v>
      </c>
      <c r="AH800" s="4">
        <v>3</v>
      </c>
      <c r="AI800" s="4">
        <v>3</v>
      </c>
      <c r="AJ800" s="4">
        <v>8</v>
      </c>
      <c r="AK800" s="4">
        <v>8</v>
      </c>
      <c r="AL800" s="4">
        <v>3</v>
      </c>
      <c r="AM800" s="4">
        <v>3</v>
      </c>
      <c r="AN800" s="4">
        <v>0</v>
      </c>
      <c r="AO800" s="4">
        <v>0</v>
      </c>
      <c r="AP800" s="3" t="s">
        <v>59</v>
      </c>
      <c r="AQ800" s="3" t="s">
        <v>61</v>
      </c>
      <c r="AR800" s="6" t="str">
        <f>HYPERLINK("http://catalog.hathitrust.org/Record/000491888","HathiTrust Record")</f>
        <v>HathiTrust Record</v>
      </c>
      <c r="AS800" s="6" t="str">
        <f>HYPERLINK("https://creighton-primo.hosted.exlibrisgroup.com/primo-explore/search?tab=default_tab&amp;search_scope=EVERYTHING&amp;vid=01CRU&amp;lang=en_US&amp;offset=0&amp;query=any,contains,991003646669702656","Catalog Record")</f>
        <v>Catalog Record</v>
      </c>
      <c r="AT800" s="6" t="str">
        <f>HYPERLINK("http://www.worldcat.org/oclc/1248674","WorldCat Record")</f>
        <v>WorldCat Record</v>
      </c>
      <c r="AU800" s="3" t="s">
        <v>8748</v>
      </c>
      <c r="AV800" s="3" t="s">
        <v>8749</v>
      </c>
      <c r="AW800" s="3" t="s">
        <v>8750</v>
      </c>
      <c r="AX800" s="3" t="s">
        <v>8750</v>
      </c>
      <c r="AY800" s="3" t="s">
        <v>8751</v>
      </c>
      <c r="AZ800" s="3" t="s">
        <v>75</v>
      </c>
      <c r="BC800" s="3" t="s">
        <v>8752</v>
      </c>
      <c r="BD800" s="3" t="s">
        <v>8753</v>
      </c>
    </row>
    <row r="801" spans="1:56" ht="44.25" customHeight="1" x14ac:dyDescent="0.25">
      <c r="A801" s="7" t="s">
        <v>61</v>
      </c>
      <c r="B801" s="2" t="s">
        <v>8754</v>
      </c>
      <c r="C801" s="2" t="s">
        <v>8755</v>
      </c>
      <c r="D801" s="2" t="s">
        <v>8756</v>
      </c>
      <c r="F801" s="3" t="s">
        <v>61</v>
      </c>
      <c r="G801" s="3" t="s">
        <v>60</v>
      </c>
      <c r="H801" s="3" t="s">
        <v>61</v>
      </c>
      <c r="I801" s="3" t="s">
        <v>61</v>
      </c>
      <c r="J801" s="3" t="s">
        <v>62</v>
      </c>
      <c r="K801" s="2" t="s">
        <v>8757</v>
      </c>
      <c r="L801" s="2" t="s">
        <v>8758</v>
      </c>
      <c r="M801" s="3" t="s">
        <v>1976</v>
      </c>
      <c r="O801" s="3" t="s">
        <v>114</v>
      </c>
      <c r="P801" s="3" t="s">
        <v>649</v>
      </c>
      <c r="R801" s="3" t="s">
        <v>68</v>
      </c>
      <c r="S801" s="4">
        <v>2</v>
      </c>
      <c r="T801" s="4">
        <v>2</v>
      </c>
      <c r="U801" s="5" t="s">
        <v>8759</v>
      </c>
      <c r="V801" s="5" t="s">
        <v>8759</v>
      </c>
      <c r="W801" s="5" t="s">
        <v>8759</v>
      </c>
      <c r="X801" s="5" t="s">
        <v>8759</v>
      </c>
      <c r="Y801" s="4">
        <v>395</v>
      </c>
      <c r="Z801" s="4">
        <v>357</v>
      </c>
      <c r="AA801" s="4">
        <v>357</v>
      </c>
      <c r="AB801" s="4">
        <v>4</v>
      </c>
      <c r="AC801" s="4">
        <v>4</v>
      </c>
      <c r="AD801" s="4">
        <v>23</v>
      </c>
      <c r="AE801" s="4">
        <v>23</v>
      </c>
      <c r="AF801" s="4">
        <v>9</v>
      </c>
      <c r="AG801" s="4">
        <v>9</v>
      </c>
      <c r="AH801" s="4">
        <v>7</v>
      </c>
      <c r="AI801" s="4">
        <v>7</v>
      </c>
      <c r="AJ801" s="4">
        <v>10</v>
      </c>
      <c r="AK801" s="4">
        <v>10</v>
      </c>
      <c r="AL801" s="4">
        <v>3</v>
      </c>
      <c r="AM801" s="4">
        <v>3</v>
      </c>
      <c r="AN801" s="4">
        <v>0</v>
      </c>
      <c r="AO801" s="4">
        <v>0</v>
      </c>
      <c r="AP801" s="3" t="s">
        <v>61</v>
      </c>
      <c r="AQ801" s="3" t="s">
        <v>61</v>
      </c>
      <c r="AS801" s="6" t="str">
        <f>HYPERLINK("https://creighton-primo.hosted.exlibrisgroup.com/primo-explore/search?tab=default_tab&amp;search_scope=EVERYTHING&amp;vid=01CRU&amp;lang=en_US&amp;offset=0&amp;query=any,contains,991004241639702656","Catalog Record")</f>
        <v>Catalog Record</v>
      </c>
      <c r="AT801" s="6" t="str">
        <f>HYPERLINK("http://www.worldcat.org/oclc/48544186","WorldCat Record")</f>
        <v>WorldCat Record</v>
      </c>
      <c r="AU801" s="3" t="s">
        <v>8760</v>
      </c>
      <c r="AV801" s="3" t="s">
        <v>8761</v>
      </c>
      <c r="AW801" s="3" t="s">
        <v>8762</v>
      </c>
      <c r="AX801" s="3" t="s">
        <v>8762</v>
      </c>
      <c r="AY801" s="3" t="s">
        <v>8763</v>
      </c>
      <c r="AZ801" s="3" t="s">
        <v>75</v>
      </c>
      <c r="BB801" s="3" t="s">
        <v>8764</v>
      </c>
      <c r="BC801" s="3" t="s">
        <v>8765</v>
      </c>
      <c r="BD801" s="3" t="s">
        <v>8766</v>
      </c>
    </row>
    <row r="802" spans="1:56" ht="44.25" customHeight="1" x14ac:dyDescent="0.25">
      <c r="A802" s="7" t="s">
        <v>61</v>
      </c>
      <c r="B802" s="2" t="s">
        <v>8767</v>
      </c>
      <c r="C802" s="2" t="s">
        <v>8768</v>
      </c>
      <c r="D802" s="2" t="s">
        <v>8769</v>
      </c>
      <c r="F802" s="3" t="s">
        <v>61</v>
      </c>
      <c r="G802" s="3" t="s">
        <v>60</v>
      </c>
      <c r="H802" s="3" t="s">
        <v>61</v>
      </c>
      <c r="I802" s="3" t="s">
        <v>61</v>
      </c>
      <c r="J802" s="3" t="s">
        <v>62</v>
      </c>
      <c r="K802" s="2" t="s">
        <v>8770</v>
      </c>
      <c r="L802" s="2" t="s">
        <v>8771</v>
      </c>
      <c r="M802" s="3" t="s">
        <v>234</v>
      </c>
      <c r="O802" s="3" t="s">
        <v>114</v>
      </c>
      <c r="P802" s="3" t="s">
        <v>235</v>
      </c>
      <c r="Q802" s="2" t="s">
        <v>8772</v>
      </c>
      <c r="R802" s="3" t="s">
        <v>68</v>
      </c>
      <c r="S802" s="4">
        <v>3</v>
      </c>
      <c r="T802" s="4">
        <v>3</v>
      </c>
      <c r="U802" s="5" t="s">
        <v>8773</v>
      </c>
      <c r="V802" s="5" t="s">
        <v>8773</v>
      </c>
      <c r="W802" s="5" t="s">
        <v>8774</v>
      </c>
      <c r="X802" s="5" t="s">
        <v>8774</v>
      </c>
      <c r="Y802" s="4">
        <v>253</v>
      </c>
      <c r="Z802" s="4">
        <v>192</v>
      </c>
      <c r="AA802" s="4">
        <v>193</v>
      </c>
      <c r="AB802" s="4">
        <v>3</v>
      </c>
      <c r="AC802" s="4">
        <v>3</v>
      </c>
      <c r="AD802" s="4">
        <v>14</v>
      </c>
      <c r="AE802" s="4">
        <v>14</v>
      </c>
      <c r="AF802" s="4">
        <v>2</v>
      </c>
      <c r="AG802" s="4">
        <v>2</v>
      </c>
      <c r="AH802" s="4">
        <v>6</v>
      </c>
      <c r="AI802" s="4">
        <v>6</v>
      </c>
      <c r="AJ802" s="4">
        <v>8</v>
      </c>
      <c r="AK802" s="4">
        <v>8</v>
      </c>
      <c r="AL802" s="4">
        <v>2</v>
      </c>
      <c r="AM802" s="4">
        <v>2</v>
      </c>
      <c r="AN802" s="4">
        <v>0</v>
      </c>
      <c r="AO802" s="4">
        <v>0</v>
      </c>
      <c r="AP802" s="3" t="s">
        <v>61</v>
      </c>
      <c r="AQ802" s="3" t="s">
        <v>59</v>
      </c>
      <c r="AR802" s="6" t="str">
        <f>HYPERLINK("http://catalog.hathitrust.org/Record/000151647","HathiTrust Record")</f>
        <v>HathiTrust Record</v>
      </c>
      <c r="AS802" s="6" t="str">
        <f>HYPERLINK("https://creighton-primo.hosted.exlibrisgroup.com/primo-explore/search?tab=default_tab&amp;search_scope=EVERYTHING&amp;vid=01CRU&amp;lang=en_US&amp;offset=0&amp;query=any,contains,991000239409702656","Catalog Record")</f>
        <v>Catalog Record</v>
      </c>
      <c r="AT802" s="6" t="str">
        <f>HYPERLINK("http://www.worldcat.org/oclc/9682784","WorldCat Record")</f>
        <v>WorldCat Record</v>
      </c>
      <c r="AU802" s="3" t="s">
        <v>8775</v>
      </c>
      <c r="AV802" s="3" t="s">
        <v>8776</v>
      </c>
      <c r="AW802" s="3" t="s">
        <v>8777</v>
      </c>
      <c r="AX802" s="3" t="s">
        <v>8777</v>
      </c>
      <c r="AY802" s="3" t="s">
        <v>8778</v>
      </c>
      <c r="AZ802" s="3" t="s">
        <v>75</v>
      </c>
      <c r="BB802" s="3" t="s">
        <v>8779</v>
      </c>
      <c r="BC802" s="3" t="s">
        <v>8780</v>
      </c>
      <c r="BD802" s="3" t="s">
        <v>8781</v>
      </c>
    </row>
    <row r="803" spans="1:56" ht="44.25" customHeight="1" x14ac:dyDescent="0.25">
      <c r="A803" s="7" t="s">
        <v>61</v>
      </c>
      <c r="B803" s="2" t="s">
        <v>8782</v>
      </c>
      <c r="C803" s="2" t="s">
        <v>8783</v>
      </c>
      <c r="D803" s="2" t="s">
        <v>8784</v>
      </c>
      <c r="F803" s="3" t="s">
        <v>61</v>
      </c>
      <c r="G803" s="3" t="s">
        <v>60</v>
      </c>
      <c r="H803" s="3" t="s">
        <v>61</v>
      </c>
      <c r="I803" s="3" t="s">
        <v>61</v>
      </c>
      <c r="J803" s="3" t="s">
        <v>62</v>
      </c>
      <c r="K803" s="2" t="s">
        <v>8785</v>
      </c>
      <c r="L803" s="2" t="s">
        <v>8786</v>
      </c>
      <c r="M803" s="3" t="s">
        <v>407</v>
      </c>
      <c r="O803" s="3" t="s">
        <v>114</v>
      </c>
      <c r="P803" s="3" t="s">
        <v>235</v>
      </c>
      <c r="R803" s="3" t="s">
        <v>68</v>
      </c>
      <c r="S803" s="4">
        <v>3</v>
      </c>
      <c r="T803" s="4">
        <v>3</v>
      </c>
      <c r="U803" s="5" t="s">
        <v>7471</v>
      </c>
      <c r="V803" s="5" t="s">
        <v>7471</v>
      </c>
      <c r="W803" s="5" t="s">
        <v>8787</v>
      </c>
      <c r="X803" s="5" t="s">
        <v>8787</v>
      </c>
      <c r="Y803" s="4">
        <v>579</v>
      </c>
      <c r="Z803" s="4">
        <v>533</v>
      </c>
      <c r="AA803" s="4">
        <v>571</v>
      </c>
      <c r="AB803" s="4">
        <v>3</v>
      </c>
      <c r="AC803" s="4">
        <v>3</v>
      </c>
      <c r="AD803" s="4">
        <v>23</v>
      </c>
      <c r="AE803" s="4">
        <v>23</v>
      </c>
      <c r="AF803" s="4">
        <v>4</v>
      </c>
      <c r="AG803" s="4">
        <v>4</v>
      </c>
      <c r="AH803" s="4">
        <v>6</v>
      </c>
      <c r="AI803" s="4">
        <v>6</v>
      </c>
      <c r="AJ803" s="4">
        <v>11</v>
      </c>
      <c r="AK803" s="4">
        <v>11</v>
      </c>
      <c r="AL803" s="4">
        <v>2</v>
      </c>
      <c r="AM803" s="4">
        <v>2</v>
      </c>
      <c r="AN803" s="4">
        <v>4</v>
      </c>
      <c r="AO803" s="4">
        <v>4</v>
      </c>
      <c r="AP803" s="3" t="s">
        <v>61</v>
      </c>
      <c r="AQ803" s="3" t="s">
        <v>59</v>
      </c>
      <c r="AR803" s="6" t="str">
        <f>HYPERLINK("http://catalog.hathitrust.org/Record/002971609","HathiTrust Record")</f>
        <v>HathiTrust Record</v>
      </c>
      <c r="AS803" s="6" t="str">
        <f>HYPERLINK("https://creighton-primo.hosted.exlibrisgroup.com/primo-explore/search?tab=default_tab&amp;search_scope=EVERYTHING&amp;vid=01CRU&amp;lang=en_US&amp;offset=0&amp;query=any,contains,991002441219702656","Catalog Record")</f>
        <v>Catalog Record</v>
      </c>
      <c r="AT803" s="6" t="str">
        <f>HYPERLINK("http://www.worldcat.org/oclc/31816261","WorldCat Record")</f>
        <v>WorldCat Record</v>
      </c>
      <c r="AU803" s="3" t="s">
        <v>8788</v>
      </c>
      <c r="AV803" s="3" t="s">
        <v>8789</v>
      </c>
      <c r="AW803" s="3" t="s">
        <v>8790</v>
      </c>
      <c r="AX803" s="3" t="s">
        <v>8790</v>
      </c>
      <c r="AY803" s="3" t="s">
        <v>8791</v>
      </c>
      <c r="AZ803" s="3" t="s">
        <v>75</v>
      </c>
      <c r="BB803" s="3" t="s">
        <v>8792</v>
      </c>
      <c r="BC803" s="3" t="s">
        <v>8793</v>
      </c>
      <c r="BD803" s="3" t="s">
        <v>8794</v>
      </c>
    </row>
    <row r="804" spans="1:56" ht="44.25" customHeight="1" x14ac:dyDescent="0.25">
      <c r="A804" s="7" t="s">
        <v>61</v>
      </c>
      <c r="B804" s="2" t="s">
        <v>8795</v>
      </c>
      <c r="C804" s="2" t="s">
        <v>8796</v>
      </c>
      <c r="D804" s="2" t="s">
        <v>8797</v>
      </c>
      <c r="F804" s="3" t="s">
        <v>61</v>
      </c>
      <c r="G804" s="3" t="s">
        <v>60</v>
      </c>
      <c r="H804" s="3" t="s">
        <v>61</v>
      </c>
      <c r="I804" s="3" t="s">
        <v>61</v>
      </c>
      <c r="J804" s="3" t="s">
        <v>62</v>
      </c>
      <c r="K804" s="2" t="s">
        <v>7362</v>
      </c>
      <c r="L804" s="2" t="s">
        <v>8798</v>
      </c>
      <c r="M804" s="3" t="s">
        <v>8273</v>
      </c>
      <c r="O804" s="3" t="s">
        <v>114</v>
      </c>
      <c r="P804" s="3" t="s">
        <v>235</v>
      </c>
      <c r="R804" s="3" t="s">
        <v>68</v>
      </c>
      <c r="S804" s="4">
        <v>2</v>
      </c>
      <c r="T804" s="4">
        <v>2</v>
      </c>
      <c r="U804" s="5" t="s">
        <v>8681</v>
      </c>
      <c r="V804" s="5" t="s">
        <v>8681</v>
      </c>
      <c r="W804" s="5" t="s">
        <v>8655</v>
      </c>
      <c r="X804" s="5" t="s">
        <v>8655</v>
      </c>
      <c r="Y804" s="4">
        <v>1121</v>
      </c>
      <c r="Z804" s="4">
        <v>979</v>
      </c>
      <c r="AA804" s="4">
        <v>1024</v>
      </c>
      <c r="AB804" s="4">
        <v>9</v>
      </c>
      <c r="AC804" s="4">
        <v>9</v>
      </c>
      <c r="AD804" s="4">
        <v>43</v>
      </c>
      <c r="AE804" s="4">
        <v>43</v>
      </c>
      <c r="AF804" s="4">
        <v>19</v>
      </c>
      <c r="AG804" s="4">
        <v>19</v>
      </c>
      <c r="AH804" s="4">
        <v>8</v>
      </c>
      <c r="AI804" s="4">
        <v>8</v>
      </c>
      <c r="AJ804" s="4">
        <v>18</v>
      </c>
      <c r="AK804" s="4">
        <v>18</v>
      </c>
      <c r="AL804" s="4">
        <v>6</v>
      </c>
      <c r="AM804" s="4">
        <v>6</v>
      </c>
      <c r="AN804" s="4">
        <v>1</v>
      </c>
      <c r="AO804" s="4">
        <v>1</v>
      </c>
      <c r="AP804" s="3" t="s">
        <v>61</v>
      </c>
      <c r="AQ804" s="3" t="s">
        <v>59</v>
      </c>
      <c r="AR804" s="6" t="str">
        <f>HYPERLINK("http://catalog.hathitrust.org/Record/000490376","HathiTrust Record")</f>
        <v>HathiTrust Record</v>
      </c>
      <c r="AS804" s="6" t="str">
        <f>HYPERLINK("https://creighton-primo.hosted.exlibrisgroup.com/primo-explore/search?tab=default_tab&amp;search_scope=EVERYTHING&amp;vid=01CRU&amp;lang=en_US&amp;offset=0&amp;query=any,contains,991002668229702656","Catalog Record")</f>
        <v>Catalog Record</v>
      </c>
      <c r="AT804" s="6" t="str">
        <f>HYPERLINK("http://www.worldcat.org/oclc/394271","WorldCat Record")</f>
        <v>WorldCat Record</v>
      </c>
      <c r="AU804" s="3" t="s">
        <v>8799</v>
      </c>
      <c r="AV804" s="3" t="s">
        <v>8800</v>
      </c>
      <c r="AW804" s="3" t="s">
        <v>8801</v>
      </c>
      <c r="AX804" s="3" t="s">
        <v>8801</v>
      </c>
      <c r="AY804" s="3" t="s">
        <v>8802</v>
      </c>
      <c r="AZ804" s="3" t="s">
        <v>75</v>
      </c>
      <c r="BC804" s="3" t="s">
        <v>8803</v>
      </c>
      <c r="BD804" s="3" t="s">
        <v>8804</v>
      </c>
    </row>
    <row r="805" spans="1:56" ht="44.25" customHeight="1" x14ac:dyDescent="0.25">
      <c r="A805" s="7" t="s">
        <v>61</v>
      </c>
      <c r="B805" s="2" t="s">
        <v>8805</v>
      </c>
      <c r="C805" s="2" t="s">
        <v>8806</v>
      </c>
      <c r="D805" s="2" t="s">
        <v>8807</v>
      </c>
      <c r="F805" s="3" t="s">
        <v>61</v>
      </c>
      <c r="G805" s="3" t="s">
        <v>60</v>
      </c>
      <c r="H805" s="3" t="s">
        <v>61</v>
      </c>
      <c r="I805" s="3" t="s">
        <v>61</v>
      </c>
      <c r="J805" s="3" t="s">
        <v>62</v>
      </c>
      <c r="K805" s="2" t="s">
        <v>8808</v>
      </c>
      <c r="L805" s="2" t="s">
        <v>5726</v>
      </c>
      <c r="M805" s="3" t="s">
        <v>579</v>
      </c>
      <c r="O805" s="3" t="s">
        <v>114</v>
      </c>
      <c r="P805" s="3" t="s">
        <v>235</v>
      </c>
      <c r="R805" s="3" t="s">
        <v>68</v>
      </c>
      <c r="S805" s="4">
        <v>1</v>
      </c>
      <c r="T805" s="4">
        <v>1</v>
      </c>
      <c r="U805" s="5" t="s">
        <v>8681</v>
      </c>
      <c r="V805" s="5" t="s">
        <v>8681</v>
      </c>
      <c r="W805" s="5" t="s">
        <v>2699</v>
      </c>
      <c r="X805" s="5" t="s">
        <v>2699</v>
      </c>
      <c r="Y805" s="4">
        <v>207</v>
      </c>
      <c r="Z805" s="4">
        <v>180</v>
      </c>
      <c r="AA805" s="4">
        <v>244</v>
      </c>
      <c r="AB805" s="4">
        <v>2</v>
      </c>
      <c r="AC805" s="4">
        <v>4</v>
      </c>
      <c r="AD805" s="4">
        <v>12</v>
      </c>
      <c r="AE805" s="4">
        <v>15</v>
      </c>
      <c r="AF805" s="4">
        <v>3</v>
      </c>
      <c r="AG805" s="4">
        <v>3</v>
      </c>
      <c r="AH805" s="4">
        <v>4</v>
      </c>
      <c r="AI805" s="4">
        <v>4</v>
      </c>
      <c r="AJ805" s="4">
        <v>9</v>
      </c>
      <c r="AK805" s="4">
        <v>10</v>
      </c>
      <c r="AL805" s="4">
        <v>1</v>
      </c>
      <c r="AM805" s="4">
        <v>3</v>
      </c>
      <c r="AN805" s="4">
        <v>0</v>
      </c>
      <c r="AO805" s="4">
        <v>0</v>
      </c>
      <c r="AP805" s="3" t="s">
        <v>61</v>
      </c>
      <c r="AQ805" s="3" t="s">
        <v>61</v>
      </c>
      <c r="AS805" s="6" t="str">
        <f>HYPERLINK("https://creighton-primo.hosted.exlibrisgroup.com/primo-explore/search?tab=default_tab&amp;search_scope=EVERYTHING&amp;vid=01CRU&amp;lang=en_US&amp;offset=0&amp;query=any,contains,991000756359702656","Catalog Record")</f>
        <v>Catalog Record</v>
      </c>
      <c r="AT805" s="6" t="str">
        <f>HYPERLINK("http://www.worldcat.org/oclc/12947797","WorldCat Record")</f>
        <v>WorldCat Record</v>
      </c>
      <c r="AU805" s="3" t="s">
        <v>8809</v>
      </c>
      <c r="AV805" s="3" t="s">
        <v>8810</v>
      </c>
      <c r="AW805" s="3" t="s">
        <v>8811</v>
      </c>
      <c r="AX805" s="3" t="s">
        <v>8811</v>
      </c>
      <c r="AY805" s="3" t="s">
        <v>8812</v>
      </c>
      <c r="AZ805" s="3" t="s">
        <v>75</v>
      </c>
      <c r="BB805" s="3" t="s">
        <v>8813</v>
      </c>
      <c r="BC805" s="3" t="s">
        <v>8814</v>
      </c>
      <c r="BD805" s="3" t="s">
        <v>8815</v>
      </c>
    </row>
    <row r="806" spans="1:56" ht="44.25" customHeight="1" x14ac:dyDescent="0.25">
      <c r="A806" s="7" t="s">
        <v>61</v>
      </c>
      <c r="B806" s="2" t="s">
        <v>8816</v>
      </c>
      <c r="C806" s="2" t="s">
        <v>8817</v>
      </c>
      <c r="D806" s="2" t="s">
        <v>8818</v>
      </c>
      <c r="F806" s="3" t="s">
        <v>61</v>
      </c>
      <c r="G806" s="3" t="s">
        <v>60</v>
      </c>
      <c r="H806" s="3" t="s">
        <v>61</v>
      </c>
      <c r="I806" s="3" t="s">
        <v>61</v>
      </c>
      <c r="J806" s="3" t="s">
        <v>62</v>
      </c>
      <c r="K806" s="2" t="s">
        <v>8819</v>
      </c>
      <c r="L806" s="2" t="s">
        <v>8820</v>
      </c>
      <c r="M806" s="3" t="s">
        <v>1211</v>
      </c>
      <c r="O806" s="3" t="s">
        <v>114</v>
      </c>
      <c r="P806" s="3" t="s">
        <v>235</v>
      </c>
      <c r="Q806" s="2" t="s">
        <v>8821</v>
      </c>
      <c r="R806" s="3" t="s">
        <v>68</v>
      </c>
      <c r="S806" s="4">
        <v>3</v>
      </c>
      <c r="T806" s="4">
        <v>3</v>
      </c>
      <c r="U806" s="5" t="s">
        <v>8822</v>
      </c>
      <c r="V806" s="5" t="s">
        <v>8822</v>
      </c>
      <c r="W806" s="5" t="s">
        <v>8696</v>
      </c>
      <c r="X806" s="5" t="s">
        <v>8696</v>
      </c>
      <c r="Y806" s="4">
        <v>1034</v>
      </c>
      <c r="Z806" s="4">
        <v>851</v>
      </c>
      <c r="AA806" s="4">
        <v>858</v>
      </c>
      <c r="AB806" s="4">
        <v>7</v>
      </c>
      <c r="AC806" s="4">
        <v>7</v>
      </c>
      <c r="AD806" s="4">
        <v>42</v>
      </c>
      <c r="AE806" s="4">
        <v>42</v>
      </c>
      <c r="AF806" s="4">
        <v>17</v>
      </c>
      <c r="AG806" s="4">
        <v>17</v>
      </c>
      <c r="AH806" s="4">
        <v>10</v>
      </c>
      <c r="AI806" s="4">
        <v>10</v>
      </c>
      <c r="AJ806" s="4">
        <v>18</v>
      </c>
      <c r="AK806" s="4">
        <v>18</v>
      </c>
      <c r="AL806" s="4">
        <v>6</v>
      </c>
      <c r="AM806" s="4">
        <v>6</v>
      </c>
      <c r="AN806" s="4">
        <v>0</v>
      </c>
      <c r="AO806" s="4">
        <v>0</v>
      </c>
      <c r="AP806" s="3" t="s">
        <v>61</v>
      </c>
      <c r="AQ806" s="3" t="s">
        <v>59</v>
      </c>
      <c r="AR806" s="6" t="str">
        <f>HYPERLINK("http://catalog.hathitrust.org/Record/000490486","HathiTrust Record")</f>
        <v>HathiTrust Record</v>
      </c>
      <c r="AS806" s="6" t="str">
        <f>HYPERLINK("https://creighton-primo.hosted.exlibrisgroup.com/primo-explore/search?tab=default_tab&amp;search_scope=EVERYTHING&amp;vid=01CRU&amp;lang=en_US&amp;offset=0&amp;query=any,contains,991002864429702656","Catalog Record")</f>
        <v>Catalog Record</v>
      </c>
      <c r="AT806" s="6" t="str">
        <f>HYPERLINK("http://www.worldcat.org/oclc/495114","WorldCat Record")</f>
        <v>WorldCat Record</v>
      </c>
      <c r="AU806" s="3" t="s">
        <v>8823</v>
      </c>
      <c r="AV806" s="3" t="s">
        <v>8824</v>
      </c>
      <c r="AW806" s="3" t="s">
        <v>8825</v>
      </c>
      <c r="AX806" s="3" t="s">
        <v>8825</v>
      </c>
      <c r="AY806" s="3" t="s">
        <v>8826</v>
      </c>
      <c r="AZ806" s="3" t="s">
        <v>75</v>
      </c>
      <c r="BB806" s="3" t="s">
        <v>8827</v>
      </c>
      <c r="BC806" s="3" t="s">
        <v>8828</v>
      </c>
      <c r="BD806" s="3" t="s">
        <v>8829</v>
      </c>
    </row>
    <row r="807" spans="1:56" ht="44.25" customHeight="1" x14ac:dyDescent="0.25">
      <c r="A807" s="7" t="s">
        <v>61</v>
      </c>
      <c r="B807" s="2" t="s">
        <v>8830</v>
      </c>
      <c r="C807" s="2" t="s">
        <v>8831</v>
      </c>
      <c r="D807" s="2" t="s">
        <v>8832</v>
      </c>
      <c r="F807" s="3" t="s">
        <v>61</v>
      </c>
      <c r="G807" s="3" t="s">
        <v>60</v>
      </c>
      <c r="H807" s="3" t="s">
        <v>61</v>
      </c>
      <c r="I807" s="3" t="s">
        <v>61</v>
      </c>
      <c r="J807" s="3" t="s">
        <v>62</v>
      </c>
      <c r="K807" s="2" t="s">
        <v>8833</v>
      </c>
      <c r="L807" s="2" t="s">
        <v>8834</v>
      </c>
      <c r="M807" s="3" t="s">
        <v>2323</v>
      </c>
      <c r="N807" s="2" t="s">
        <v>634</v>
      </c>
      <c r="O807" s="3" t="s">
        <v>114</v>
      </c>
      <c r="P807" s="3" t="s">
        <v>235</v>
      </c>
      <c r="R807" s="3" t="s">
        <v>68</v>
      </c>
      <c r="S807" s="4">
        <v>5</v>
      </c>
      <c r="T807" s="4">
        <v>5</v>
      </c>
      <c r="U807" s="5" t="s">
        <v>8835</v>
      </c>
      <c r="V807" s="5" t="s">
        <v>8835</v>
      </c>
      <c r="W807" s="5" t="s">
        <v>8836</v>
      </c>
      <c r="X807" s="5" t="s">
        <v>8836</v>
      </c>
      <c r="Y807" s="4">
        <v>1067</v>
      </c>
      <c r="Z807" s="4">
        <v>1028</v>
      </c>
      <c r="AA807" s="4">
        <v>1134</v>
      </c>
      <c r="AB807" s="4">
        <v>13</v>
      </c>
      <c r="AC807" s="4">
        <v>14</v>
      </c>
      <c r="AD807" s="4">
        <v>18</v>
      </c>
      <c r="AE807" s="4">
        <v>24</v>
      </c>
      <c r="AF807" s="4">
        <v>7</v>
      </c>
      <c r="AG807" s="4">
        <v>10</v>
      </c>
      <c r="AH807" s="4">
        <v>3</v>
      </c>
      <c r="AI807" s="4">
        <v>4</v>
      </c>
      <c r="AJ807" s="4">
        <v>8</v>
      </c>
      <c r="AK807" s="4">
        <v>10</v>
      </c>
      <c r="AL807" s="4">
        <v>5</v>
      </c>
      <c r="AM807" s="4">
        <v>6</v>
      </c>
      <c r="AN807" s="4">
        <v>0</v>
      </c>
      <c r="AO807" s="4">
        <v>0</v>
      </c>
      <c r="AP807" s="3" t="s">
        <v>61</v>
      </c>
      <c r="AQ807" s="3" t="s">
        <v>59</v>
      </c>
      <c r="AR807" s="6" t="str">
        <f>HYPERLINK("http://catalog.hathitrust.org/Record/004365617","HathiTrust Record")</f>
        <v>HathiTrust Record</v>
      </c>
      <c r="AS807" s="6" t="str">
        <f>HYPERLINK("https://creighton-primo.hosted.exlibrisgroup.com/primo-explore/search?tab=default_tab&amp;search_scope=EVERYTHING&amp;vid=01CRU&amp;lang=en_US&amp;offset=0&amp;query=any,contains,991004254839702656","Catalog Record")</f>
        <v>Catalog Record</v>
      </c>
      <c r="AT807" s="6" t="str">
        <f>HYPERLINK("http://www.worldcat.org/oclc/52464740","WorldCat Record")</f>
        <v>WorldCat Record</v>
      </c>
      <c r="AU807" s="3" t="s">
        <v>8837</v>
      </c>
      <c r="AV807" s="3" t="s">
        <v>8838</v>
      </c>
      <c r="AW807" s="3" t="s">
        <v>8839</v>
      </c>
      <c r="AX807" s="3" t="s">
        <v>8839</v>
      </c>
      <c r="AY807" s="3" t="s">
        <v>8840</v>
      </c>
      <c r="AZ807" s="3" t="s">
        <v>75</v>
      </c>
      <c r="BB807" s="3" t="s">
        <v>8841</v>
      </c>
      <c r="BC807" s="3" t="s">
        <v>8842</v>
      </c>
      <c r="BD807" s="3" t="s">
        <v>8843</v>
      </c>
    </row>
    <row r="808" spans="1:56" ht="44.25" customHeight="1" x14ac:dyDescent="0.25">
      <c r="A808" s="7" t="s">
        <v>61</v>
      </c>
      <c r="B808" s="2" t="s">
        <v>8844</v>
      </c>
      <c r="C808" s="2" t="s">
        <v>8845</v>
      </c>
      <c r="D808" s="2" t="s">
        <v>8846</v>
      </c>
      <c r="F808" s="3" t="s">
        <v>61</v>
      </c>
      <c r="G808" s="3" t="s">
        <v>60</v>
      </c>
      <c r="H808" s="3" t="s">
        <v>61</v>
      </c>
      <c r="I808" s="3" t="s">
        <v>61</v>
      </c>
      <c r="J808" s="3" t="s">
        <v>62</v>
      </c>
      <c r="L808" s="2" t="s">
        <v>5726</v>
      </c>
      <c r="M808" s="3" t="s">
        <v>579</v>
      </c>
      <c r="O808" s="3" t="s">
        <v>114</v>
      </c>
      <c r="P808" s="3" t="s">
        <v>235</v>
      </c>
      <c r="R808" s="3" t="s">
        <v>68</v>
      </c>
      <c r="S808" s="4">
        <v>2</v>
      </c>
      <c r="T808" s="4">
        <v>2</v>
      </c>
      <c r="U808" s="5" t="s">
        <v>8847</v>
      </c>
      <c r="V808" s="5" t="s">
        <v>8847</v>
      </c>
      <c r="W808" s="5" t="s">
        <v>2699</v>
      </c>
      <c r="X808" s="5" t="s">
        <v>2699</v>
      </c>
      <c r="Y808" s="4">
        <v>387</v>
      </c>
      <c r="Z808" s="4">
        <v>357</v>
      </c>
      <c r="AA808" s="4">
        <v>428</v>
      </c>
      <c r="AB808" s="4">
        <v>2</v>
      </c>
      <c r="AC808" s="4">
        <v>4</v>
      </c>
      <c r="AD808" s="4">
        <v>14</v>
      </c>
      <c r="AE808" s="4">
        <v>17</v>
      </c>
      <c r="AF808" s="4">
        <v>7</v>
      </c>
      <c r="AG808" s="4">
        <v>7</v>
      </c>
      <c r="AH808" s="4">
        <v>4</v>
      </c>
      <c r="AI808" s="4">
        <v>5</v>
      </c>
      <c r="AJ808" s="4">
        <v>6</v>
      </c>
      <c r="AK808" s="4">
        <v>7</v>
      </c>
      <c r="AL808" s="4">
        <v>1</v>
      </c>
      <c r="AM808" s="4">
        <v>3</v>
      </c>
      <c r="AN808" s="4">
        <v>0</v>
      </c>
      <c r="AO808" s="4">
        <v>0</v>
      </c>
      <c r="AP808" s="3" t="s">
        <v>61</v>
      </c>
      <c r="AQ808" s="3" t="s">
        <v>61</v>
      </c>
      <c r="AS808" s="6" t="str">
        <f>HYPERLINK("https://creighton-primo.hosted.exlibrisgroup.com/primo-explore/search?tab=default_tab&amp;search_scope=EVERYTHING&amp;vid=01CRU&amp;lang=en_US&amp;offset=0&amp;query=any,contains,991000760119702656","Catalog Record")</f>
        <v>Catalog Record</v>
      </c>
      <c r="AT808" s="6" t="str">
        <f>HYPERLINK("http://www.worldcat.org/oclc/12972571","WorldCat Record")</f>
        <v>WorldCat Record</v>
      </c>
      <c r="AU808" s="3" t="s">
        <v>8848</v>
      </c>
      <c r="AV808" s="3" t="s">
        <v>8849</v>
      </c>
      <c r="AW808" s="3" t="s">
        <v>8850</v>
      </c>
      <c r="AX808" s="3" t="s">
        <v>8850</v>
      </c>
      <c r="AY808" s="3" t="s">
        <v>8851</v>
      </c>
      <c r="AZ808" s="3" t="s">
        <v>75</v>
      </c>
      <c r="BB808" s="3" t="s">
        <v>8852</v>
      </c>
      <c r="BC808" s="3" t="s">
        <v>8853</v>
      </c>
      <c r="BD808" s="3" t="s">
        <v>8854</v>
      </c>
    </row>
    <row r="809" spans="1:56" ht="44.25" customHeight="1" x14ac:dyDescent="0.25">
      <c r="A809" s="7" t="s">
        <v>61</v>
      </c>
      <c r="B809" s="2" t="s">
        <v>8855</v>
      </c>
      <c r="C809" s="2" t="s">
        <v>8856</v>
      </c>
      <c r="D809" s="2" t="s">
        <v>8857</v>
      </c>
      <c r="F809" s="3" t="s">
        <v>61</v>
      </c>
      <c r="G809" s="3" t="s">
        <v>60</v>
      </c>
      <c r="H809" s="3" t="s">
        <v>61</v>
      </c>
      <c r="I809" s="3" t="s">
        <v>61</v>
      </c>
      <c r="J809" s="3" t="s">
        <v>62</v>
      </c>
      <c r="K809" s="2" t="s">
        <v>8858</v>
      </c>
      <c r="M809" s="3" t="s">
        <v>5326</v>
      </c>
      <c r="O809" s="3" t="s">
        <v>114</v>
      </c>
      <c r="P809" s="3" t="s">
        <v>67</v>
      </c>
      <c r="R809" s="3" t="s">
        <v>68</v>
      </c>
      <c r="S809" s="4">
        <v>1</v>
      </c>
      <c r="T809" s="4">
        <v>1</v>
      </c>
      <c r="U809" s="5" t="s">
        <v>8847</v>
      </c>
      <c r="V809" s="5" t="s">
        <v>8847</v>
      </c>
      <c r="W809" s="5" t="s">
        <v>146</v>
      </c>
      <c r="X809" s="5" t="s">
        <v>146</v>
      </c>
      <c r="Y809" s="4">
        <v>224</v>
      </c>
      <c r="Z809" s="4">
        <v>209</v>
      </c>
      <c r="AA809" s="4">
        <v>588</v>
      </c>
      <c r="AB809" s="4">
        <v>4</v>
      </c>
      <c r="AC809" s="4">
        <v>8</v>
      </c>
      <c r="AD809" s="4">
        <v>14</v>
      </c>
      <c r="AE809" s="4">
        <v>33</v>
      </c>
      <c r="AF809" s="4">
        <v>7</v>
      </c>
      <c r="AG809" s="4">
        <v>13</v>
      </c>
      <c r="AH809" s="4">
        <v>3</v>
      </c>
      <c r="AI809" s="4">
        <v>6</v>
      </c>
      <c r="AJ809" s="4">
        <v>5</v>
      </c>
      <c r="AK809" s="4">
        <v>10</v>
      </c>
      <c r="AL809" s="4">
        <v>3</v>
      </c>
      <c r="AM809" s="4">
        <v>6</v>
      </c>
      <c r="AN809" s="4">
        <v>0</v>
      </c>
      <c r="AO809" s="4">
        <v>5</v>
      </c>
      <c r="AP809" s="3" t="s">
        <v>59</v>
      </c>
      <c r="AQ809" s="3" t="s">
        <v>61</v>
      </c>
      <c r="AR809" s="6" t="str">
        <f>HYPERLINK("http://catalog.hathitrust.org/Record/000490494","HathiTrust Record")</f>
        <v>HathiTrust Record</v>
      </c>
      <c r="AS809" s="6" t="str">
        <f>HYPERLINK("https://creighton-primo.hosted.exlibrisgroup.com/primo-explore/search?tab=default_tab&amp;search_scope=EVERYTHING&amp;vid=01CRU&amp;lang=en_US&amp;offset=0&amp;query=any,contains,991002563789702656","Catalog Record")</f>
        <v>Catalog Record</v>
      </c>
      <c r="AT809" s="6" t="str">
        <f>HYPERLINK("http://www.worldcat.org/oclc/372196","WorldCat Record")</f>
        <v>WorldCat Record</v>
      </c>
      <c r="AU809" s="3" t="s">
        <v>8859</v>
      </c>
      <c r="AV809" s="3" t="s">
        <v>8860</v>
      </c>
      <c r="AW809" s="3" t="s">
        <v>8861</v>
      </c>
      <c r="AX809" s="3" t="s">
        <v>8861</v>
      </c>
      <c r="AY809" s="3" t="s">
        <v>8862</v>
      </c>
      <c r="AZ809" s="3" t="s">
        <v>75</v>
      </c>
      <c r="BC809" s="3" t="s">
        <v>8863</v>
      </c>
      <c r="BD809" s="3" t="s">
        <v>8864</v>
      </c>
    </row>
    <row r="810" spans="1:56" ht="44.25" customHeight="1" x14ac:dyDescent="0.25">
      <c r="A810" s="7" t="s">
        <v>61</v>
      </c>
      <c r="B810" s="2" t="s">
        <v>8865</v>
      </c>
      <c r="C810" s="2" t="s">
        <v>8866</v>
      </c>
      <c r="D810" s="2" t="s">
        <v>8867</v>
      </c>
      <c r="F810" s="3" t="s">
        <v>61</v>
      </c>
      <c r="G810" s="3" t="s">
        <v>60</v>
      </c>
      <c r="H810" s="3" t="s">
        <v>61</v>
      </c>
      <c r="I810" s="3" t="s">
        <v>61</v>
      </c>
      <c r="J810" s="3" t="s">
        <v>62</v>
      </c>
      <c r="K810" s="2" t="s">
        <v>8868</v>
      </c>
      <c r="L810" s="2" t="s">
        <v>8869</v>
      </c>
      <c r="M810" s="3" t="s">
        <v>1507</v>
      </c>
      <c r="O810" s="3" t="s">
        <v>114</v>
      </c>
      <c r="P810" s="3" t="s">
        <v>1114</v>
      </c>
      <c r="R810" s="3" t="s">
        <v>68</v>
      </c>
      <c r="S810" s="4">
        <v>0</v>
      </c>
      <c r="T810" s="4">
        <v>0</v>
      </c>
      <c r="U810" s="5" t="s">
        <v>8870</v>
      </c>
      <c r="V810" s="5" t="s">
        <v>8870</v>
      </c>
      <c r="W810" s="5" t="s">
        <v>8668</v>
      </c>
      <c r="X810" s="5" t="s">
        <v>8668</v>
      </c>
      <c r="Y810" s="4">
        <v>605</v>
      </c>
      <c r="Z810" s="4">
        <v>536</v>
      </c>
      <c r="AA810" s="4">
        <v>741</v>
      </c>
      <c r="AB810" s="4">
        <v>3</v>
      </c>
      <c r="AC810" s="4">
        <v>6</v>
      </c>
      <c r="AD810" s="4">
        <v>30</v>
      </c>
      <c r="AE810" s="4">
        <v>41</v>
      </c>
      <c r="AF810" s="4">
        <v>12</v>
      </c>
      <c r="AG810" s="4">
        <v>20</v>
      </c>
      <c r="AH810" s="4">
        <v>9</v>
      </c>
      <c r="AI810" s="4">
        <v>10</v>
      </c>
      <c r="AJ810" s="4">
        <v>16</v>
      </c>
      <c r="AK810" s="4">
        <v>19</v>
      </c>
      <c r="AL810" s="4">
        <v>2</v>
      </c>
      <c r="AM810" s="4">
        <v>4</v>
      </c>
      <c r="AN810" s="4">
        <v>0</v>
      </c>
      <c r="AO810" s="4">
        <v>0</v>
      </c>
      <c r="AP810" s="3" t="s">
        <v>61</v>
      </c>
      <c r="AQ810" s="3" t="s">
        <v>59</v>
      </c>
      <c r="AR810" s="6" t="str">
        <f>HYPERLINK("http://catalog.hathitrust.org/Record/000487093","HathiTrust Record")</f>
        <v>HathiTrust Record</v>
      </c>
      <c r="AS810" s="6" t="str">
        <f>HYPERLINK("https://creighton-primo.hosted.exlibrisgroup.com/primo-explore/search?tab=default_tab&amp;search_scope=EVERYTHING&amp;vid=01CRU&amp;lang=en_US&amp;offset=0&amp;query=any,contains,991003129539702656","Catalog Record")</f>
        <v>Catalog Record</v>
      </c>
      <c r="AT810" s="6" t="str">
        <f>HYPERLINK("http://www.worldcat.org/oclc/672974","WorldCat Record")</f>
        <v>WorldCat Record</v>
      </c>
      <c r="AU810" s="3" t="s">
        <v>8871</v>
      </c>
      <c r="AV810" s="3" t="s">
        <v>8872</v>
      </c>
      <c r="AW810" s="3" t="s">
        <v>8873</v>
      </c>
      <c r="AX810" s="3" t="s">
        <v>8873</v>
      </c>
      <c r="AY810" s="3" t="s">
        <v>8874</v>
      </c>
      <c r="AZ810" s="3" t="s">
        <v>75</v>
      </c>
      <c r="BB810" s="3" t="s">
        <v>8875</v>
      </c>
      <c r="BC810" s="3" t="s">
        <v>8876</v>
      </c>
      <c r="BD810" s="3" t="s">
        <v>8877</v>
      </c>
    </row>
    <row r="811" spans="1:56" ht="44.25" customHeight="1" x14ac:dyDescent="0.25">
      <c r="A811" s="7" t="s">
        <v>61</v>
      </c>
      <c r="B811" s="2" t="s">
        <v>8878</v>
      </c>
      <c r="C811" s="2" t="s">
        <v>8879</v>
      </c>
      <c r="D811" s="2" t="s">
        <v>8880</v>
      </c>
      <c r="F811" s="3" t="s">
        <v>61</v>
      </c>
      <c r="G811" s="3" t="s">
        <v>60</v>
      </c>
      <c r="H811" s="3" t="s">
        <v>61</v>
      </c>
      <c r="I811" s="3" t="s">
        <v>61</v>
      </c>
      <c r="J811" s="3" t="s">
        <v>62</v>
      </c>
      <c r="L811" s="2" t="s">
        <v>8881</v>
      </c>
      <c r="M811" s="3" t="s">
        <v>379</v>
      </c>
      <c r="O811" s="3" t="s">
        <v>114</v>
      </c>
      <c r="P811" s="3" t="s">
        <v>8882</v>
      </c>
      <c r="R811" s="3" t="s">
        <v>68</v>
      </c>
      <c r="S811" s="4">
        <v>3</v>
      </c>
      <c r="T811" s="4">
        <v>3</v>
      </c>
      <c r="U811" s="5" t="s">
        <v>8883</v>
      </c>
      <c r="V811" s="5" t="s">
        <v>8883</v>
      </c>
      <c r="W811" s="5" t="s">
        <v>8884</v>
      </c>
      <c r="X811" s="5" t="s">
        <v>8884</v>
      </c>
      <c r="Y811" s="4">
        <v>248</v>
      </c>
      <c r="Z811" s="4">
        <v>181</v>
      </c>
      <c r="AA811" s="4">
        <v>181</v>
      </c>
      <c r="AB811" s="4">
        <v>1</v>
      </c>
      <c r="AC811" s="4">
        <v>1</v>
      </c>
      <c r="AD811" s="4">
        <v>14</v>
      </c>
      <c r="AE811" s="4">
        <v>14</v>
      </c>
      <c r="AF811" s="4">
        <v>6</v>
      </c>
      <c r="AG811" s="4">
        <v>6</v>
      </c>
      <c r="AH811" s="4">
        <v>3</v>
      </c>
      <c r="AI811" s="4">
        <v>3</v>
      </c>
      <c r="AJ811" s="4">
        <v>10</v>
      </c>
      <c r="AK811" s="4">
        <v>10</v>
      </c>
      <c r="AL811" s="4">
        <v>0</v>
      </c>
      <c r="AM811" s="4">
        <v>0</v>
      </c>
      <c r="AN811" s="4">
        <v>0</v>
      </c>
      <c r="AO811" s="4">
        <v>0</v>
      </c>
      <c r="AP811" s="3" t="s">
        <v>61</v>
      </c>
      <c r="AQ811" s="3" t="s">
        <v>61</v>
      </c>
      <c r="AS811" s="6" t="str">
        <f>HYPERLINK("https://creighton-primo.hosted.exlibrisgroup.com/primo-explore/search?tab=default_tab&amp;search_scope=EVERYTHING&amp;vid=01CRU&amp;lang=en_US&amp;offset=0&amp;query=any,contains,991003731879702656","Catalog Record")</f>
        <v>Catalog Record</v>
      </c>
      <c r="AT811" s="6" t="str">
        <f>HYPERLINK("http://www.worldcat.org/oclc/42003681","WorldCat Record")</f>
        <v>WorldCat Record</v>
      </c>
      <c r="AU811" s="3" t="s">
        <v>8885</v>
      </c>
      <c r="AV811" s="3" t="s">
        <v>8886</v>
      </c>
      <c r="AW811" s="3" t="s">
        <v>8887</v>
      </c>
      <c r="AX811" s="3" t="s">
        <v>8887</v>
      </c>
      <c r="AY811" s="3" t="s">
        <v>8888</v>
      </c>
      <c r="AZ811" s="3" t="s">
        <v>75</v>
      </c>
      <c r="BB811" s="3" t="s">
        <v>8889</v>
      </c>
      <c r="BC811" s="3" t="s">
        <v>8890</v>
      </c>
      <c r="BD811" s="3" t="s">
        <v>8891</v>
      </c>
    </row>
    <row r="812" spans="1:56" ht="44.25" customHeight="1" x14ac:dyDescent="0.25">
      <c r="A812" s="7" t="s">
        <v>61</v>
      </c>
      <c r="B812" s="2" t="s">
        <v>8892</v>
      </c>
      <c r="C812" s="2" t="s">
        <v>8893</v>
      </c>
      <c r="D812" s="2" t="s">
        <v>8894</v>
      </c>
      <c r="F812" s="3" t="s">
        <v>61</v>
      </c>
      <c r="G812" s="3" t="s">
        <v>60</v>
      </c>
      <c r="H812" s="3" t="s">
        <v>61</v>
      </c>
      <c r="I812" s="3" t="s">
        <v>61</v>
      </c>
      <c r="J812" s="3" t="s">
        <v>62</v>
      </c>
      <c r="K812" s="2" t="s">
        <v>8895</v>
      </c>
      <c r="L812" s="2" t="s">
        <v>8896</v>
      </c>
      <c r="M812" s="3" t="s">
        <v>1306</v>
      </c>
      <c r="O812" s="3" t="s">
        <v>114</v>
      </c>
      <c r="P812" s="3" t="s">
        <v>235</v>
      </c>
      <c r="R812" s="3" t="s">
        <v>68</v>
      </c>
      <c r="S812" s="4">
        <v>2</v>
      </c>
      <c r="T812" s="4">
        <v>2</v>
      </c>
      <c r="U812" s="5" t="s">
        <v>8897</v>
      </c>
      <c r="V812" s="5" t="s">
        <v>8897</v>
      </c>
      <c r="W812" s="5" t="s">
        <v>8898</v>
      </c>
      <c r="X812" s="5" t="s">
        <v>8898</v>
      </c>
      <c r="Y812" s="4">
        <v>822</v>
      </c>
      <c r="Z812" s="4">
        <v>759</v>
      </c>
      <c r="AA812" s="4">
        <v>874</v>
      </c>
      <c r="AB812" s="4">
        <v>7</v>
      </c>
      <c r="AC812" s="4">
        <v>8</v>
      </c>
      <c r="AD812" s="4">
        <v>41</v>
      </c>
      <c r="AE812" s="4">
        <v>42</v>
      </c>
      <c r="AF812" s="4">
        <v>12</v>
      </c>
      <c r="AG812" s="4">
        <v>13</v>
      </c>
      <c r="AH812" s="4">
        <v>8</v>
      </c>
      <c r="AI812" s="4">
        <v>8</v>
      </c>
      <c r="AJ812" s="4">
        <v>20</v>
      </c>
      <c r="AK812" s="4">
        <v>20</v>
      </c>
      <c r="AL812" s="4">
        <v>6</v>
      </c>
      <c r="AM812" s="4">
        <v>6</v>
      </c>
      <c r="AN812" s="4">
        <v>2</v>
      </c>
      <c r="AO812" s="4">
        <v>2</v>
      </c>
      <c r="AP812" s="3" t="s">
        <v>61</v>
      </c>
      <c r="AQ812" s="3" t="s">
        <v>59</v>
      </c>
      <c r="AR812" s="6" t="str">
        <f>HYPERLINK("http://catalog.hathitrust.org/Record/000335178","HathiTrust Record")</f>
        <v>HathiTrust Record</v>
      </c>
      <c r="AS812" s="6" t="str">
        <f>HYPERLINK("https://creighton-primo.hosted.exlibrisgroup.com/primo-explore/search?tab=default_tab&amp;search_scope=EVERYTHING&amp;vid=01CRU&amp;lang=en_US&amp;offset=0&amp;query=any,contains,991003480339702656","Catalog Record")</f>
        <v>Catalog Record</v>
      </c>
      <c r="AT812" s="6" t="str">
        <f>HYPERLINK("http://www.worldcat.org/oclc/1027303","WorldCat Record")</f>
        <v>WorldCat Record</v>
      </c>
      <c r="AU812" s="3" t="s">
        <v>8899</v>
      </c>
      <c r="AV812" s="3" t="s">
        <v>8900</v>
      </c>
      <c r="AW812" s="3" t="s">
        <v>8901</v>
      </c>
      <c r="AX812" s="3" t="s">
        <v>8901</v>
      </c>
      <c r="AY812" s="3" t="s">
        <v>8902</v>
      </c>
      <c r="AZ812" s="3" t="s">
        <v>75</v>
      </c>
      <c r="BC812" s="3" t="s">
        <v>8903</v>
      </c>
      <c r="BD812" s="3" t="s">
        <v>8904</v>
      </c>
    </row>
    <row r="813" spans="1:56" ht="44.25" customHeight="1" x14ac:dyDescent="0.25">
      <c r="A813" s="7" t="s">
        <v>61</v>
      </c>
      <c r="B813" s="2" t="s">
        <v>8905</v>
      </c>
      <c r="C813" s="2" t="s">
        <v>8906</v>
      </c>
      <c r="D813" s="2" t="s">
        <v>8907</v>
      </c>
      <c r="F813" s="3" t="s">
        <v>61</v>
      </c>
      <c r="G813" s="3" t="s">
        <v>60</v>
      </c>
      <c r="H813" s="3" t="s">
        <v>61</v>
      </c>
      <c r="I813" s="3" t="s">
        <v>61</v>
      </c>
      <c r="J813" s="3" t="s">
        <v>62</v>
      </c>
      <c r="K813" s="2" t="s">
        <v>8908</v>
      </c>
      <c r="L813" s="2" t="s">
        <v>8909</v>
      </c>
      <c r="M813" s="3" t="s">
        <v>579</v>
      </c>
      <c r="O813" s="3" t="s">
        <v>114</v>
      </c>
      <c r="P813" s="3" t="s">
        <v>364</v>
      </c>
      <c r="R813" s="3" t="s">
        <v>68</v>
      </c>
      <c r="S813" s="4">
        <v>3</v>
      </c>
      <c r="T813" s="4">
        <v>3</v>
      </c>
      <c r="U813" s="5" t="s">
        <v>8910</v>
      </c>
      <c r="V813" s="5" t="s">
        <v>8910</v>
      </c>
      <c r="W813" s="5" t="s">
        <v>8774</v>
      </c>
      <c r="X813" s="5" t="s">
        <v>8774</v>
      </c>
      <c r="Y813" s="4">
        <v>427</v>
      </c>
      <c r="Z813" s="4">
        <v>362</v>
      </c>
      <c r="AA813" s="4">
        <v>364</v>
      </c>
      <c r="AB813" s="4">
        <v>4</v>
      </c>
      <c r="AC813" s="4">
        <v>4</v>
      </c>
      <c r="AD813" s="4">
        <v>19</v>
      </c>
      <c r="AE813" s="4">
        <v>19</v>
      </c>
      <c r="AF813" s="4">
        <v>7</v>
      </c>
      <c r="AG813" s="4">
        <v>7</v>
      </c>
      <c r="AH813" s="4">
        <v>4</v>
      </c>
      <c r="AI813" s="4">
        <v>4</v>
      </c>
      <c r="AJ813" s="4">
        <v>13</v>
      </c>
      <c r="AK813" s="4">
        <v>13</v>
      </c>
      <c r="AL813" s="4">
        <v>2</v>
      </c>
      <c r="AM813" s="4">
        <v>2</v>
      </c>
      <c r="AN813" s="4">
        <v>0</v>
      </c>
      <c r="AO813" s="4">
        <v>0</v>
      </c>
      <c r="AP813" s="3" t="s">
        <v>61</v>
      </c>
      <c r="AQ813" s="3" t="s">
        <v>59</v>
      </c>
      <c r="AR813" s="6" t="str">
        <f>HYPERLINK("http://catalog.hathitrust.org/Record/000556410","HathiTrust Record")</f>
        <v>HathiTrust Record</v>
      </c>
      <c r="AS813" s="6" t="str">
        <f>HYPERLINK("https://creighton-primo.hosted.exlibrisgroup.com/primo-explore/search?tab=default_tab&amp;search_scope=EVERYTHING&amp;vid=01CRU&amp;lang=en_US&amp;offset=0&amp;query=any,contains,991000760089702656","Catalog Record")</f>
        <v>Catalog Record</v>
      </c>
      <c r="AT813" s="6" t="str">
        <f>HYPERLINK("http://www.worldcat.org/oclc/12972552","WorldCat Record")</f>
        <v>WorldCat Record</v>
      </c>
      <c r="AU813" s="3" t="s">
        <v>8911</v>
      </c>
      <c r="AV813" s="3" t="s">
        <v>8912</v>
      </c>
      <c r="AW813" s="3" t="s">
        <v>8913</v>
      </c>
      <c r="AX813" s="3" t="s">
        <v>8913</v>
      </c>
      <c r="AY813" s="3" t="s">
        <v>8914</v>
      </c>
      <c r="AZ813" s="3" t="s">
        <v>75</v>
      </c>
      <c r="BB813" s="3" t="s">
        <v>8915</v>
      </c>
      <c r="BC813" s="3" t="s">
        <v>8916</v>
      </c>
      <c r="BD813" s="3" t="s">
        <v>8917</v>
      </c>
    </row>
    <row r="814" spans="1:56" ht="44.25" customHeight="1" x14ac:dyDescent="0.25">
      <c r="A814" s="7" t="s">
        <v>61</v>
      </c>
      <c r="B814" s="2" t="s">
        <v>8918</v>
      </c>
      <c r="C814" s="2" t="s">
        <v>8919</v>
      </c>
      <c r="D814" s="2" t="s">
        <v>8920</v>
      </c>
      <c r="F814" s="3" t="s">
        <v>61</v>
      </c>
      <c r="G814" s="3" t="s">
        <v>60</v>
      </c>
      <c r="H814" s="3" t="s">
        <v>61</v>
      </c>
      <c r="I814" s="3" t="s">
        <v>61</v>
      </c>
      <c r="J814" s="3" t="s">
        <v>62</v>
      </c>
      <c r="K814" s="2" t="s">
        <v>8921</v>
      </c>
      <c r="L814" s="2" t="s">
        <v>8922</v>
      </c>
      <c r="M814" s="3" t="s">
        <v>2391</v>
      </c>
      <c r="O814" s="3" t="s">
        <v>114</v>
      </c>
      <c r="P814" s="3" t="s">
        <v>2432</v>
      </c>
      <c r="R814" s="3" t="s">
        <v>68</v>
      </c>
      <c r="S814" s="4">
        <v>4</v>
      </c>
      <c r="T814" s="4">
        <v>4</v>
      </c>
      <c r="U814" s="5" t="s">
        <v>1730</v>
      </c>
      <c r="V814" s="5" t="s">
        <v>1730</v>
      </c>
      <c r="W814" s="5" t="s">
        <v>5767</v>
      </c>
      <c r="X814" s="5" t="s">
        <v>5767</v>
      </c>
      <c r="Y814" s="4">
        <v>616</v>
      </c>
      <c r="Z814" s="4">
        <v>596</v>
      </c>
      <c r="AA814" s="4">
        <v>598</v>
      </c>
      <c r="AB814" s="4">
        <v>5</v>
      </c>
      <c r="AC814" s="4">
        <v>5</v>
      </c>
      <c r="AD814" s="4">
        <v>25</v>
      </c>
      <c r="AE814" s="4">
        <v>25</v>
      </c>
      <c r="AF814" s="4">
        <v>8</v>
      </c>
      <c r="AG814" s="4">
        <v>8</v>
      </c>
      <c r="AH814" s="4">
        <v>7</v>
      </c>
      <c r="AI814" s="4">
        <v>7</v>
      </c>
      <c r="AJ814" s="4">
        <v>15</v>
      </c>
      <c r="AK814" s="4">
        <v>15</v>
      </c>
      <c r="AL814" s="4">
        <v>3</v>
      </c>
      <c r="AM814" s="4">
        <v>3</v>
      </c>
      <c r="AN814" s="4">
        <v>0</v>
      </c>
      <c r="AO814" s="4">
        <v>0</v>
      </c>
      <c r="AP814" s="3" t="s">
        <v>61</v>
      </c>
      <c r="AQ814" s="3" t="s">
        <v>59</v>
      </c>
      <c r="AR814" s="6" t="str">
        <f>HYPERLINK("http://catalog.hathitrust.org/Record/004214704","HathiTrust Record")</f>
        <v>HathiTrust Record</v>
      </c>
      <c r="AS814" s="6" t="str">
        <f>HYPERLINK("https://creighton-primo.hosted.exlibrisgroup.com/primo-explore/search?tab=default_tab&amp;search_scope=EVERYTHING&amp;vid=01CRU&amp;lang=en_US&amp;offset=0&amp;query=any,contains,991003886319702656","Catalog Record")</f>
        <v>Catalog Record</v>
      </c>
      <c r="AT814" s="6" t="str">
        <f>HYPERLINK("http://www.worldcat.org/oclc/46729338","WorldCat Record")</f>
        <v>WorldCat Record</v>
      </c>
      <c r="AU814" s="3" t="s">
        <v>8923</v>
      </c>
      <c r="AV814" s="3" t="s">
        <v>8924</v>
      </c>
      <c r="AW814" s="3" t="s">
        <v>8925</v>
      </c>
      <c r="AX814" s="3" t="s">
        <v>8925</v>
      </c>
      <c r="AY814" s="3" t="s">
        <v>8926</v>
      </c>
      <c r="AZ814" s="3" t="s">
        <v>75</v>
      </c>
      <c r="BB814" s="3" t="s">
        <v>8927</v>
      </c>
      <c r="BC814" s="3" t="s">
        <v>8928</v>
      </c>
      <c r="BD814" s="3" t="s">
        <v>8929</v>
      </c>
    </row>
    <row r="815" spans="1:56" ht="44.25" customHeight="1" x14ac:dyDescent="0.25">
      <c r="A815" s="7" t="s">
        <v>61</v>
      </c>
      <c r="B815" s="2" t="s">
        <v>8930</v>
      </c>
      <c r="C815" s="2" t="s">
        <v>8931</v>
      </c>
      <c r="D815" s="2" t="s">
        <v>8932</v>
      </c>
      <c r="F815" s="3" t="s">
        <v>61</v>
      </c>
      <c r="G815" s="3" t="s">
        <v>60</v>
      </c>
      <c r="H815" s="3" t="s">
        <v>61</v>
      </c>
      <c r="I815" s="3" t="s">
        <v>61</v>
      </c>
      <c r="J815" s="3" t="s">
        <v>62</v>
      </c>
      <c r="K815" s="2" t="s">
        <v>8933</v>
      </c>
      <c r="L815" s="2" t="s">
        <v>8934</v>
      </c>
      <c r="M815" s="3" t="s">
        <v>422</v>
      </c>
      <c r="O815" s="3" t="s">
        <v>114</v>
      </c>
      <c r="P815" s="3" t="s">
        <v>235</v>
      </c>
      <c r="R815" s="3" t="s">
        <v>68</v>
      </c>
      <c r="S815" s="4">
        <v>1</v>
      </c>
      <c r="T815" s="4">
        <v>1</v>
      </c>
      <c r="U815" s="5" t="s">
        <v>8935</v>
      </c>
      <c r="V815" s="5" t="s">
        <v>8935</v>
      </c>
      <c r="W815" s="5" t="s">
        <v>8936</v>
      </c>
      <c r="X815" s="5" t="s">
        <v>8936</v>
      </c>
      <c r="Y815" s="4">
        <v>968</v>
      </c>
      <c r="Z815" s="4">
        <v>888</v>
      </c>
      <c r="AA815" s="4">
        <v>941</v>
      </c>
      <c r="AB815" s="4">
        <v>7</v>
      </c>
      <c r="AC815" s="4">
        <v>7</v>
      </c>
      <c r="AD815" s="4">
        <v>34</v>
      </c>
      <c r="AE815" s="4">
        <v>34</v>
      </c>
      <c r="AF815" s="4">
        <v>15</v>
      </c>
      <c r="AG815" s="4">
        <v>15</v>
      </c>
      <c r="AH815" s="4">
        <v>8</v>
      </c>
      <c r="AI815" s="4">
        <v>8</v>
      </c>
      <c r="AJ815" s="4">
        <v>16</v>
      </c>
      <c r="AK815" s="4">
        <v>16</v>
      </c>
      <c r="AL815" s="4">
        <v>3</v>
      </c>
      <c r="AM815" s="4">
        <v>3</v>
      </c>
      <c r="AN815" s="4">
        <v>1</v>
      </c>
      <c r="AO815" s="4">
        <v>1</v>
      </c>
      <c r="AP815" s="3" t="s">
        <v>61</v>
      </c>
      <c r="AQ815" s="3" t="s">
        <v>59</v>
      </c>
      <c r="AR815" s="6" t="str">
        <f>HYPERLINK("http://catalog.hathitrust.org/Record/007555881","HathiTrust Record")</f>
        <v>HathiTrust Record</v>
      </c>
      <c r="AS815" s="6" t="str">
        <f>HYPERLINK("https://creighton-primo.hosted.exlibrisgroup.com/primo-explore/search?tab=default_tab&amp;search_scope=EVERYTHING&amp;vid=01CRU&amp;lang=en_US&amp;offset=0&amp;query=any,contains,991002965249702656","Catalog Record")</f>
        <v>Catalog Record</v>
      </c>
      <c r="AT815" s="6" t="str">
        <f>HYPERLINK("http://www.worldcat.org/oclc/39677467","WorldCat Record")</f>
        <v>WorldCat Record</v>
      </c>
      <c r="AU815" s="3" t="s">
        <v>8937</v>
      </c>
      <c r="AV815" s="3" t="s">
        <v>8938</v>
      </c>
      <c r="AW815" s="3" t="s">
        <v>8939</v>
      </c>
      <c r="AX815" s="3" t="s">
        <v>8939</v>
      </c>
      <c r="AY815" s="3" t="s">
        <v>8940</v>
      </c>
      <c r="AZ815" s="3" t="s">
        <v>75</v>
      </c>
      <c r="BB815" s="3" t="s">
        <v>8941</v>
      </c>
      <c r="BC815" s="3" t="s">
        <v>8942</v>
      </c>
      <c r="BD815" s="3" t="s">
        <v>8943</v>
      </c>
    </row>
    <row r="816" spans="1:56" ht="44.25" customHeight="1" x14ac:dyDescent="0.25">
      <c r="A816" s="7" t="s">
        <v>61</v>
      </c>
      <c r="B816" s="2" t="s">
        <v>8944</v>
      </c>
      <c r="C816" s="2" t="s">
        <v>8945</v>
      </c>
      <c r="D816" s="2" t="s">
        <v>8946</v>
      </c>
      <c r="F816" s="3" t="s">
        <v>61</v>
      </c>
      <c r="G816" s="3" t="s">
        <v>60</v>
      </c>
      <c r="H816" s="3" t="s">
        <v>61</v>
      </c>
      <c r="I816" s="3" t="s">
        <v>61</v>
      </c>
      <c r="J816" s="3" t="s">
        <v>62</v>
      </c>
      <c r="L816" s="2" t="s">
        <v>8947</v>
      </c>
      <c r="M816" s="3" t="s">
        <v>2391</v>
      </c>
      <c r="O816" s="3" t="s">
        <v>114</v>
      </c>
      <c r="P816" s="3" t="s">
        <v>2784</v>
      </c>
      <c r="R816" s="3" t="s">
        <v>68</v>
      </c>
      <c r="S816" s="4">
        <v>4</v>
      </c>
      <c r="T816" s="4">
        <v>4</v>
      </c>
      <c r="U816" s="5" t="s">
        <v>5766</v>
      </c>
      <c r="V816" s="5" t="s">
        <v>5766</v>
      </c>
      <c r="W816" s="5" t="s">
        <v>5767</v>
      </c>
      <c r="X816" s="5" t="s">
        <v>5767</v>
      </c>
      <c r="Y816" s="4">
        <v>595</v>
      </c>
      <c r="Z816" s="4">
        <v>593</v>
      </c>
      <c r="AA816" s="4">
        <v>593</v>
      </c>
      <c r="AB816" s="4">
        <v>4</v>
      </c>
      <c r="AC816" s="4">
        <v>4</v>
      </c>
      <c r="AD816" s="4">
        <v>25</v>
      </c>
      <c r="AE816" s="4">
        <v>25</v>
      </c>
      <c r="AF816" s="4">
        <v>8</v>
      </c>
      <c r="AG816" s="4">
        <v>8</v>
      </c>
      <c r="AH816" s="4">
        <v>7</v>
      </c>
      <c r="AI816" s="4">
        <v>7</v>
      </c>
      <c r="AJ816" s="4">
        <v>15</v>
      </c>
      <c r="AK816" s="4">
        <v>15</v>
      </c>
      <c r="AL816" s="4">
        <v>3</v>
      </c>
      <c r="AM816" s="4">
        <v>3</v>
      </c>
      <c r="AN816" s="4">
        <v>0</v>
      </c>
      <c r="AO816" s="4">
        <v>0</v>
      </c>
      <c r="AP816" s="3" t="s">
        <v>61</v>
      </c>
      <c r="AQ816" s="3" t="s">
        <v>61</v>
      </c>
      <c r="AS816" s="6" t="str">
        <f>HYPERLINK("https://creighton-primo.hosted.exlibrisgroup.com/primo-explore/search?tab=default_tab&amp;search_scope=EVERYTHING&amp;vid=01CRU&amp;lang=en_US&amp;offset=0&amp;query=any,contains,991003886379702656","Catalog Record")</f>
        <v>Catalog Record</v>
      </c>
      <c r="AT816" s="6" t="str">
        <f>HYPERLINK("http://www.worldcat.org/oclc/47443721","WorldCat Record")</f>
        <v>WorldCat Record</v>
      </c>
      <c r="AU816" s="3" t="s">
        <v>8948</v>
      </c>
      <c r="AV816" s="3" t="s">
        <v>8949</v>
      </c>
      <c r="AW816" s="3" t="s">
        <v>8950</v>
      </c>
      <c r="AX816" s="3" t="s">
        <v>8950</v>
      </c>
      <c r="AY816" s="3" t="s">
        <v>8951</v>
      </c>
      <c r="AZ816" s="3" t="s">
        <v>75</v>
      </c>
      <c r="BB816" s="3" t="s">
        <v>8952</v>
      </c>
      <c r="BC816" s="3" t="s">
        <v>8953</v>
      </c>
      <c r="BD816" s="3" t="s">
        <v>8954</v>
      </c>
    </row>
    <row r="817" spans="1:56" ht="44.25" customHeight="1" x14ac:dyDescent="0.25">
      <c r="A817" s="7" t="s">
        <v>61</v>
      </c>
      <c r="B817" s="2" t="s">
        <v>8955</v>
      </c>
      <c r="C817" s="2" t="s">
        <v>8956</v>
      </c>
      <c r="D817" s="2" t="s">
        <v>8957</v>
      </c>
      <c r="F817" s="3" t="s">
        <v>61</v>
      </c>
      <c r="G817" s="3" t="s">
        <v>60</v>
      </c>
      <c r="H817" s="3" t="s">
        <v>61</v>
      </c>
      <c r="I817" s="3" t="s">
        <v>61</v>
      </c>
      <c r="J817" s="3" t="s">
        <v>62</v>
      </c>
      <c r="K817" s="2" t="s">
        <v>8958</v>
      </c>
      <c r="L817" s="2" t="s">
        <v>8959</v>
      </c>
      <c r="M817" s="3" t="s">
        <v>220</v>
      </c>
      <c r="O817" s="3" t="s">
        <v>114</v>
      </c>
      <c r="P817" s="3" t="s">
        <v>2432</v>
      </c>
      <c r="R817" s="3" t="s">
        <v>68</v>
      </c>
      <c r="S817" s="4">
        <v>4</v>
      </c>
      <c r="T817" s="4">
        <v>4</v>
      </c>
      <c r="U817" s="5" t="s">
        <v>8960</v>
      </c>
      <c r="V817" s="5" t="s">
        <v>8960</v>
      </c>
      <c r="W817" s="5" t="s">
        <v>5767</v>
      </c>
      <c r="X817" s="5" t="s">
        <v>5767</v>
      </c>
      <c r="Y817" s="4">
        <v>636</v>
      </c>
      <c r="Z817" s="4">
        <v>612</v>
      </c>
      <c r="AA817" s="4">
        <v>640</v>
      </c>
      <c r="AB817" s="4">
        <v>4</v>
      </c>
      <c r="AC817" s="4">
        <v>4</v>
      </c>
      <c r="AD817" s="4">
        <v>29</v>
      </c>
      <c r="AE817" s="4">
        <v>31</v>
      </c>
      <c r="AF817" s="4">
        <v>11</v>
      </c>
      <c r="AG817" s="4">
        <v>13</v>
      </c>
      <c r="AH817" s="4">
        <v>9</v>
      </c>
      <c r="AI817" s="4">
        <v>9</v>
      </c>
      <c r="AJ817" s="4">
        <v>15</v>
      </c>
      <c r="AK817" s="4">
        <v>17</v>
      </c>
      <c r="AL817" s="4">
        <v>3</v>
      </c>
      <c r="AM817" s="4">
        <v>3</v>
      </c>
      <c r="AN817" s="4">
        <v>0</v>
      </c>
      <c r="AO817" s="4">
        <v>0</v>
      </c>
      <c r="AP817" s="3" t="s">
        <v>61</v>
      </c>
      <c r="AQ817" s="3" t="s">
        <v>59</v>
      </c>
      <c r="AR817" s="6" t="str">
        <f>HYPERLINK("http://catalog.hathitrust.org/Record/004228025","HathiTrust Record")</f>
        <v>HathiTrust Record</v>
      </c>
      <c r="AS817" s="6" t="str">
        <f>HYPERLINK("https://creighton-primo.hosted.exlibrisgroup.com/primo-explore/search?tab=default_tab&amp;search_scope=EVERYTHING&amp;vid=01CRU&amp;lang=en_US&amp;offset=0&amp;query=any,contains,991003886289702656","Catalog Record")</f>
        <v>Catalog Record</v>
      </c>
      <c r="AT817" s="6" t="str">
        <f>HYPERLINK("http://www.worldcat.org/oclc/46472272","WorldCat Record")</f>
        <v>WorldCat Record</v>
      </c>
      <c r="AU817" s="3" t="s">
        <v>8961</v>
      </c>
      <c r="AV817" s="3" t="s">
        <v>8962</v>
      </c>
      <c r="AW817" s="3" t="s">
        <v>8963</v>
      </c>
      <c r="AX817" s="3" t="s">
        <v>8963</v>
      </c>
      <c r="AY817" s="3" t="s">
        <v>8964</v>
      </c>
      <c r="AZ817" s="3" t="s">
        <v>75</v>
      </c>
      <c r="BB817" s="3" t="s">
        <v>8965</v>
      </c>
      <c r="BC817" s="3" t="s">
        <v>8966</v>
      </c>
      <c r="BD817" s="3" t="s">
        <v>8967</v>
      </c>
    </row>
    <row r="818" spans="1:56" ht="44.25" customHeight="1" x14ac:dyDescent="0.25">
      <c r="A818" s="7" t="s">
        <v>61</v>
      </c>
      <c r="B818" s="2" t="s">
        <v>8968</v>
      </c>
      <c r="C818" s="2" t="s">
        <v>8969</v>
      </c>
      <c r="D818" s="2" t="s">
        <v>8970</v>
      </c>
      <c r="F818" s="3" t="s">
        <v>61</v>
      </c>
      <c r="G818" s="3" t="s">
        <v>60</v>
      </c>
      <c r="H818" s="3" t="s">
        <v>61</v>
      </c>
      <c r="I818" s="3" t="s">
        <v>61</v>
      </c>
      <c r="J818" s="3" t="s">
        <v>62</v>
      </c>
      <c r="K818" s="2" t="s">
        <v>8971</v>
      </c>
      <c r="L818" s="2" t="s">
        <v>8972</v>
      </c>
      <c r="M818" s="3" t="s">
        <v>263</v>
      </c>
      <c r="N818" s="2" t="s">
        <v>634</v>
      </c>
      <c r="O818" s="3" t="s">
        <v>114</v>
      </c>
      <c r="P818" s="3" t="s">
        <v>235</v>
      </c>
      <c r="R818" s="3" t="s">
        <v>68</v>
      </c>
      <c r="S818" s="4">
        <v>4</v>
      </c>
      <c r="T818" s="4">
        <v>4</v>
      </c>
      <c r="U818" s="5" t="s">
        <v>8973</v>
      </c>
      <c r="V818" s="5" t="s">
        <v>8973</v>
      </c>
      <c r="W818" s="5" t="s">
        <v>2699</v>
      </c>
      <c r="X818" s="5" t="s">
        <v>2699</v>
      </c>
      <c r="Y818" s="4">
        <v>681</v>
      </c>
      <c r="Z818" s="4">
        <v>597</v>
      </c>
      <c r="AA818" s="4">
        <v>599</v>
      </c>
      <c r="AB818" s="4">
        <v>2</v>
      </c>
      <c r="AC818" s="4">
        <v>2</v>
      </c>
      <c r="AD818" s="4">
        <v>14</v>
      </c>
      <c r="AE818" s="4">
        <v>14</v>
      </c>
      <c r="AF818" s="4">
        <v>7</v>
      </c>
      <c r="AG818" s="4">
        <v>7</v>
      </c>
      <c r="AH818" s="4">
        <v>5</v>
      </c>
      <c r="AI818" s="4">
        <v>5</v>
      </c>
      <c r="AJ818" s="4">
        <v>7</v>
      </c>
      <c r="AK818" s="4">
        <v>7</v>
      </c>
      <c r="AL818" s="4">
        <v>0</v>
      </c>
      <c r="AM818" s="4">
        <v>0</v>
      </c>
      <c r="AN818" s="4">
        <v>0</v>
      </c>
      <c r="AO818" s="4">
        <v>0</v>
      </c>
      <c r="AP818" s="3" t="s">
        <v>61</v>
      </c>
      <c r="AQ818" s="3" t="s">
        <v>59</v>
      </c>
      <c r="AR818" s="6" t="str">
        <f>HYPERLINK("http://catalog.hathitrust.org/Record/000762395","HathiTrust Record")</f>
        <v>HathiTrust Record</v>
      </c>
      <c r="AS818" s="6" t="str">
        <f>HYPERLINK("https://creighton-primo.hosted.exlibrisgroup.com/primo-explore/search?tab=default_tab&amp;search_scope=EVERYTHING&amp;vid=01CRU&amp;lang=en_US&amp;offset=0&amp;query=any,contains,991005166909702656","Catalog Record")</f>
        <v>Catalog Record</v>
      </c>
      <c r="AT818" s="6" t="str">
        <f>HYPERLINK("http://www.worldcat.org/oclc/7836196","WorldCat Record")</f>
        <v>WorldCat Record</v>
      </c>
      <c r="AU818" s="3" t="s">
        <v>8974</v>
      </c>
      <c r="AV818" s="3" t="s">
        <v>8975</v>
      </c>
      <c r="AW818" s="3" t="s">
        <v>8976</v>
      </c>
      <c r="AX818" s="3" t="s">
        <v>8976</v>
      </c>
      <c r="AY818" s="3" t="s">
        <v>8977</v>
      </c>
      <c r="AZ818" s="3" t="s">
        <v>75</v>
      </c>
      <c r="BB818" s="3" t="s">
        <v>8978</v>
      </c>
      <c r="BC818" s="3" t="s">
        <v>8979</v>
      </c>
      <c r="BD818" s="3" t="s">
        <v>8980</v>
      </c>
    </row>
    <row r="819" spans="1:56" ht="44.25" customHeight="1" x14ac:dyDescent="0.25">
      <c r="A819" s="7" t="s">
        <v>61</v>
      </c>
      <c r="B819" s="2" t="s">
        <v>8981</v>
      </c>
      <c r="C819" s="2" t="s">
        <v>8982</v>
      </c>
      <c r="D819" s="2" t="s">
        <v>8983</v>
      </c>
      <c r="F819" s="3" t="s">
        <v>61</v>
      </c>
      <c r="G819" s="3" t="s">
        <v>60</v>
      </c>
      <c r="H819" s="3" t="s">
        <v>61</v>
      </c>
      <c r="I819" s="3" t="s">
        <v>61</v>
      </c>
      <c r="J819" s="3" t="s">
        <v>62</v>
      </c>
      <c r="K819" s="2" t="s">
        <v>8984</v>
      </c>
      <c r="L819" s="2" t="s">
        <v>8985</v>
      </c>
      <c r="M819" s="3" t="s">
        <v>1976</v>
      </c>
      <c r="O819" s="3" t="s">
        <v>114</v>
      </c>
      <c r="P819" s="3" t="s">
        <v>115</v>
      </c>
      <c r="R819" s="3" t="s">
        <v>68</v>
      </c>
      <c r="S819" s="4">
        <v>3</v>
      </c>
      <c r="T819" s="4">
        <v>3</v>
      </c>
      <c r="U819" s="5" t="s">
        <v>8986</v>
      </c>
      <c r="V819" s="5" t="s">
        <v>8986</v>
      </c>
      <c r="W819" s="5" t="s">
        <v>8987</v>
      </c>
      <c r="X819" s="5" t="s">
        <v>8987</v>
      </c>
      <c r="Y819" s="4">
        <v>528</v>
      </c>
      <c r="Z819" s="4">
        <v>485</v>
      </c>
      <c r="AA819" s="4">
        <v>491</v>
      </c>
      <c r="AB819" s="4">
        <v>2</v>
      </c>
      <c r="AC819" s="4">
        <v>2</v>
      </c>
      <c r="AD819" s="4">
        <v>15</v>
      </c>
      <c r="AE819" s="4">
        <v>15</v>
      </c>
      <c r="AF819" s="4">
        <v>5</v>
      </c>
      <c r="AG819" s="4">
        <v>5</v>
      </c>
      <c r="AH819" s="4">
        <v>4</v>
      </c>
      <c r="AI819" s="4">
        <v>4</v>
      </c>
      <c r="AJ819" s="4">
        <v>9</v>
      </c>
      <c r="AK819" s="4">
        <v>9</v>
      </c>
      <c r="AL819" s="4">
        <v>1</v>
      </c>
      <c r="AM819" s="4">
        <v>1</v>
      </c>
      <c r="AN819" s="4">
        <v>0</v>
      </c>
      <c r="AO819" s="4">
        <v>0</v>
      </c>
      <c r="AP819" s="3" t="s">
        <v>61</v>
      </c>
      <c r="AQ819" s="3" t="s">
        <v>61</v>
      </c>
      <c r="AS819" s="6" t="str">
        <f>HYPERLINK("https://creighton-primo.hosted.exlibrisgroup.com/primo-explore/search?tab=default_tab&amp;search_scope=EVERYTHING&amp;vid=01CRU&amp;lang=en_US&amp;offset=0&amp;query=any,contains,991004090959702656","Catalog Record")</f>
        <v>Catalog Record</v>
      </c>
      <c r="AT819" s="6" t="str">
        <f>HYPERLINK("http://www.worldcat.org/oclc/51204138","WorldCat Record")</f>
        <v>WorldCat Record</v>
      </c>
      <c r="AU819" s="3" t="s">
        <v>8988</v>
      </c>
      <c r="AV819" s="3" t="s">
        <v>8989</v>
      </c>
      <c r="AW819" s="3" t="s">
        <v>8990</v>
      </c>
      <c r="AX819" s="3" t="s">
        <v>8990</v>
      </c>
      <c r="AY819" s="3" t="s">
        <v>8991</v>
      </c>
      <c r="AZ819" s="3" t="s">
        <v>75</v>
      </c>
      <c r="BB819" s="3" t="s">
        <v>8992</v>
      </c>
      <c r="BC819" s="3" t="s">
        <v>8993</v>
      </c>
      <c r="BD819" s="3" t="s">
        <v>8994</v>
      </c>
    </row>
    <row r="820" spans="1:56" ht="44.25" customHeight="1" x14ac:dyDescent="0.25">
      <c r="A820" s="7" t="s">
        <v>61</v>
      </c>
      <c r="B820" s="2" t="s">
        <v>8995</v>
      </c>
      <c r="C820" s="2" t="s">
        <v>8996</v>
      </c>
      <c r="D820" s="2" t="s">
        <v>8997</v>
      </c>
      <c r="F820" s="3" t="s">
        <v>61</v>
      </c>
      <c r="G820" s="3" t="s">
        <v>60</v>
      </c>
      <c r="H820" s="3" t="s">
        <v>61</v>
      </c>
      <c r="I820" s="3" t="s">
        <v>61</v>
      </c>
      <c r="J820" s="3" t="s">
        <v>62</v>
      </c>
      <c r="K820" s="2" t="s">
        <v>8998</v>
      </c>
      <c r="L820" s="2" t="s">
        <v>8999</v>
      </c>
      <c r="M820" s="3" t="s">
        <v>113</v>
      </c>
      <c r="O820" s="3" t="s">
        <v>114</v>
      </c>
      <c r="P820" s="3" t="s">
        <v>235</v>
      </c>
      <c r="R820" s="3" t="s">
        <v>68</v>
      </c>
      <c r="S820" s="4">
        <v>2</v>
      </c>
      <c r="T820" s="4">
        <v>2</v>
      </c>
      <c r="U820" s="5" t="s">
        <v>8973</v>
      </c>
      <c r="V820" s="5" t="s">
        <v>8973</v>
      </c>
      <c r="W820" s="5" t="s">
        <v>8668</v>
      </c>
      <c r="X820" s="5" t="s">
        <v>8668</v>
      </c>
      <c r="Y820" s="4">
        <v>938</v>
      </c>
      <c r="Z820" s="4">
        <v>904</v>
      </c>
      <c r="AA820" s="4">
        <v>910</v>
      </c>
      <c r="AB820" s="4">
        <v>8</v>
      </c>
      <c r="AC820" s="4">
        <v>8</v>
      </c>
      <c r="AD820" s="4">
        <v>36</v>
      </c>
      <c r="AE820" s="4">
        <v>36</v>
      </c>
      <c r="AF820" s="4">
        <v>14</v>
      </c>
      <c r="AG820" s="4">
        <v>14</v>
      </c>
      <c r="AH820" s="4">
        <v>9</v>
      </c>
      <c r="AI820" s="4">
        <v>9</v>
      </c>
      <c r="AJ820" s="4">
        <v>15</v>
      </c>
      <c r="AK820" s="4">
        <v>15</v>
      </c>
      <c r="AL820" s="4">
        <v>6</v>
      </c>
      <c r="AM820" s="4">
        <v>6</v>
      </c>
      <c r="AN820" s="4">
        <v>1</v>
      </c>
      <c r="AO820" s="4">
        <v>1</v>
      </c>
      <c r="AP820" s="3" t="s">
        <v>61</v>
      </c>
      <c r="AQ820" s="3" t="s">
        <v>59</v>
      </c>
      <c r="AR820" s="6" t="str">
        <f>HYPERLINK("http://catalog.hathitrust.org/Record/000490020","HathiTrust Record")</f>
        <v>HathiTrust Record</v>
      </c>
      <c r="AS820" s="6" t="str">
        <f>HYPERLINK("https://creighton-primo.hosted.exlibrisgroup.com/primo-explore/search?tab=default_tab&amp;search_scope=EVERYTHING&amp;vid=01CRU&amp;lang=en_US&amp;offset=0&amp;query=any,contains,991002668419702656","Catalog Record")</f>
        <v>Catalog Record</v>
      </c>
      <c r="AT820" s="6" t="str">
        <f>HYPERLINK("http://www.worldcat.org/oclc/394314","WorldCat Record")</f>
        <v>WorldCat Record</v>
      </c>
      <c r="AU820" s="3" t="s">
        <v>9000</v>
      </c>
      <c r="AV820" s="3" t="s">
        <v>9001</v>
      </c>
      <c r="AW820" s="3" t="s">
        <v>9002</v>
      </c>
      <c r="AX820" s="3" t="s">
        <v>9002</v>
      </c>
      <c r="AY820" s="3" t="s">
        <v>9003</v>
      </c>
      <c r="AZ820" s="3" t="s">
        <v>75</v>
      </c>
      <c r="BC820" s="3" t="s">
        <v>9004</v>
      </c>
      <c r="BD820" s="3" t="s">
        <v>9005</v>
      </c>
    </row>
    <row r="821" spans="1:56" ht="44.25" customHeight="1" x14ac:dyDescent="0.25">
      <c r="A821" s="7" t="s">
        <v>61</v>
      </c>
      <c r="B821" s="2" t="s">
        <v>9006</v>
      </c>
      <c r="C821" s="2" t="s">
        <v>9007</v>
      </c>
      <c r="D821" s="2" t="s">
        <v>9008</v>
      </c>
      <c r="F821" s="3" t="s">
        <v>61</v>
      </c>
      <c r="G821" s="3" t="s">
        <v>60</v>
      </c>
      <c r="H821" s="3" t="s">
        <v>61</v>
      </c>
      <c r="I821" s="3" t="s">
        <v>61</v>
      </c>
      <c r="J821" s="3" t="s">
        <v>62</v>
      </c>
      <c r="K821" s="2" t="s">
        <v>7483</v>
      </c>
      <c r="L821" s="2" t="s">
        <v>9009</v>
      </c>
      <c r="M821" s="3" t="s">
        <v>579</v>
      </c>
      <c r="N821" s="2" t="s">
        <v>4233</v>
      </c>
      <c r="O821" s="3" t="s">
        <v>114</v>
      </c>
      <c r="P821" s="3" t="s">
        <v>235</v>
      </c>
      <c r="R821" s="3" t="s">
        <v>68</v>
      </c>
      <c r="S821" s="4">
        <v>5</v>
      </c>
      <c r="T821" s="4">
        <v>5</v>
      </c>
      <c r="U821" s="5" t="s">
        <v>9010</v>
      </c>
      <c r="V821" s="5" t="s">
        <v>9010</v>
      </c>
      <c r="W821" s="5" t="s">
        <v>4364</v>
      </c>
      <c r="X821" s="5" t="s">
        <v>4364</v>
      </c>
      <c r="Y821" s="4">
        <v>430</v>
      </c>
      <c r="Z821" s="4">
        <v>415</v>
      </c>
      <c r="AA821" s="4">
        <v>469</v>
      </c>
      <c r="AB821" s="4">
        <v>3</v>
      </c>
      <c r="AC821" s="4">
        <v>3</v>
      </c>
      <c r="AD821" s="4">
        <v>10</v>
      </c>
      <c r="AE821" s="4">
        <v>11</v>
      </c>
      <c r="AF821" s="4">
        <v>3</v>
      </c>
      <c r="AG821" s="4">
        <v>4</v>
      </c>
      <c r="AH821" s="4">
        <v>4</v>
      </c>
      <c r="AI821" s="4">
        <v>4</v>
      </c>
      <c r="AJ821" s="4">
        <v>6</v>
      </c>
      <c r="AK821" s="4">
        <v>6</v>
      </c>
      <c r="AL821" s="4">
        <v>0</v>
      </c>
      <c r="AM821" s="4">
        <v>0</v>
      </c>
      <c r="AN821" s="4">
        <v>0</v>
      </c>
      <c r="AO821" s="4">
        <v>0</v>
      </c>
      <c r="AP821" s="3" t="s">
        <v>61</v>
      </c>
      <c r="AQ821" s="3" t="s">
        <v>59</v>
      </c>
      <c r="AR821" s="6" t="str">
        <f>HYPERLINK("http://catalog.hathitrust.org/Record/000492795","HathiTrust Record")</f>
        <v>HathiTrust Record</v>
      </c>
      <c r="AS821" s="6" t="str">
        <f>HYPERLINK("https://creighton-primo.hosted.exlibrisgroup.com/primo-explore/search?tab=default_tab&amp;search_scope=EVERYTHING&amp;vid=01CRU&amp;lang=en_US&amp;offset=0&amp;query=any,contains,991003995259702656","Catalog Record")</f>
        <v>Catalog Record</v>
      </c>
      <c r="AT821" s="6" t="str">
        <f>HYPERLINK("http://www.worldcat.org/oclc/13821694","WorldCat Record")</f>
        <v>WorldCat Record</v>
      </c>
      <c r="AU821" s="3" t="s">
        <v>9011</v>
      </c>
      <c r="AV821" s="3" t="s">
        <v>9012</v>
      </c>
      <c r="AW821" s="3" t="s">
        <v>9013</v>
      </c>
      <c r="AX821" s="3" t="s">
        <v>9013</v>
      </c>
      <c r="AY821" s="3" t="s">
        <v>9014</v>
      </c>
      <c r="AZ821" s="3" t="s">
        <v>75</v>
      </c>
      <c r="BB821" s="3" t="s">
        <v>9015</v>
      </c>
      <c r="BC821" s="3" t="s">
        <v>9016</v>
      </c>
      <c r="BD821" s="3" t="s">
        <v>9017</v>
      </c>
    </row>
    <row r="822" spans="1:56" ht="44.25" customHeight="1" x14ac:dyDescent="0.25">
      <c r="A822" s="7" t="s">
        <v>61</v>
      </c>
      <c r="B822" s="2" t="s">
        <v>9018</v>
      </c>
      <c r="C822" s="2" t="s">
        <v>9019</v>
      </c>
      <c r="D822" s="2" t="s">
        <v>9020</v>
      </c>
      <c r="F822" s="3" t="s">
        <v>61</v>
      </c>
      <c r="G822" s="3" t="s">
        <v>60</v>
      </c>
      <c r="H822" s="3" t="s">
        <v>61</v>
      </c>
      <c r="I822" s="3" t="s">
        <v>61</v>
      </c>
      <c r="J822" s="3" t="s">
        <v>62</v>
      </c>
      <c r="K822" s="2" t="s">
        <v>9021</v>
      </c>
      <c r="L822" s="2" t="s">
        <v>9022</v>
      </c>
      <c r="M822" s="3" t="s">
        <v>407</v>
      </c>
      <c r="O822" s="3" t="s">
        <v>114</v>
      </c>
      <c r="P822" s="3" t="s">
        <v>235</v>
      </c>
      <c r="R822" s="3" t="s">
        <v>68</v>
      </c>
      <c r="S822" s="4">
        <v>1</v>
      </c>
      <c r="T822" s="4">
        <v>1</v>
      </c>
      <c r="U822" s="5" t="s">
        <v>9023</v>
      </c>
      <c r="V822" s="5" t="s">
        <v>9023</v>
      </c>
      <c r="W822" s="5" t="s">
        <v>9024</v>
      </c>
      <c r="X822" s="5" t="s">
        <v>9024</v>
      </c>
      <c r="Y822" s="4">
        <v>1306</v>
      </c>
      <c r="Z822" s="4">
        <v>1235</v>
      </c>
      <c r="AA822" s="4">
        <v>1296</v>
      </c>
      <c r="AB822" s="4">
        <v>16</v>
      </c>
      <c r="AC822" s="4">
        <v>16</v>
      </c>
      <c r="AD822" s="4">
        <v>29</v>
      </c>
      <c r="AE822" s="4">
        <v>29</v>
      </c>
      <c r="AF822" s="4">
        <v>11</v>
      </c>
      <c r="AG822" s="4">
        <v>11</v>
      </c>
      <c r="AH822" s="4">
        <v>6</v>
      </c>
      <c r="AI822" s="4">
        <v>6</v>
      </c>
      <c r="AJ822" s="4">
        <v>14</v>
      </c>
      <c r="AK822" s="4">
        <v>14</v>
      </c>
      <c r="AL822" s="4">
        <v>5</v>
      </c>
      <c r="AM822" s="4">
        <v>5</v>
      </c>
      <c r="AN822" s="4">
        <v>0</v>
      </c>
      <c r="AO822" s="4">
        <v>0</v>
      </c>
      <c r="AP822" s="3" t="s">
        <v>61</v>
      </c>
      <c r="AQ822" s="3" t="s">
        <v>59</v>
      </c>
      <c r="AR822" s="6" t="str">
        <f>HYPERLINK("http://catalog.hathitrust.org/Record/002982218","HathiTrust Record")</f>
        <v>HathiTrust Record</v>
      </c>
      <c r="AS822" s="6" t="str">
        <f>HYPERLINK("https://creighton-primo.hosted.exlibrisgroup.com/primo-explore/search?tab=default_tab&amp;search_scope=EVERYTHING&amp;vid=01CRU&amp;lang=en_US&amp;offset=0&amp;query=any,contains,991002427469702656","Catalog Record")</f>
        <v>Catalog Record</v>
      </c>
      <c r="AT822" s="6" t="str">
        <f>HYPERLINK("http://www.worldcat.org/oclc/31610439","WorldCat Record")</f>
        <v>WorldCat Record</v>
      </c>
      <c r="AU822" s="3" t="s">
        <v>9025</v>
      </c>
      <c r="AV822" s="3" t="s">
        <v>9026</v>
      </c>
      <c r="AW822" s="3" t="s">
        <v>9027</v>
      </c>
      <c r="AX822" s="3" t="s">
        <v>9027</v>
      </c>
      <c r="AY822" s="3" t="s">
        <v>9028</v>
      </c>
      <c r="AZ822" s="3" t="s">
        <v>75</v>
      </c>
      <c r="BB822" s="3" t="s">
        <v>9029</v>
      </c>
      <c r="BC822" s="3" t="s">
        <v>9030</v>
      </c>
      <c r="BD822" s="3" t="s">
        <v>9031</v>
      </c>
    </row>
    <row r="823" spans="1:56" ht="44.25" customHeight="1" x14ac:dyDescent="0.25">
      <c r="A823" s="7" t="s">
        <v>61</v>
      </c>
      <c r="B823" s="2" t="s">
        <v>9032</v>
      </c>
      <c r="C823" s="2" t="s">
        <v>9033</v>
      </c>
      <c r="D823" s="2" t="s">
        <v>9034</v>
      </c>
      <c r="F823" s="3" t="s">
        <v>59</v>
      </c>
      <c r="G823" s="3" t="s">
        <v>7922</v>
      </c>
      <c r="H823" s="3" t="s">
        <v>59</v>
      </c>
      <c r="I823" s="3" t="s">
        <v>61</v>
      </c>
      <c r="J823" s="3" t="s">
        <v>62</v>
      </c>
      <c r="K823" s="2" t="s">
        <v>9035</v>
      </c>
      <c r="L823" s="2" t="s">
        <v>9036</v>
      </c>
      <c r="M823" s="3" t="s">
        <v>1571</v>
      </c>
      <c r="O823" s="3" t="s">
        <v>114</v>
      </c>
      <c r="P823" s="3" t="s">
        <v>192</v>
      </c>
      <c r="Q823" s="2" t="s">
        <v>9037</v>
      </c>
      <c r="R823" s="3" t="s">
        <v>68</v>
      </c>
      <c r="S823" s="4">
        <v>1</v>
      </c>
      <c r="T823" s="4">
        <v>1</v>
      </c>
      <c r="U823" s="5" t="s">
        <v>9038</v>
      </c>
      <c r="V823" s="5" t="s">
        <v>9038</v>
      </c>
      <c r="W823" s="5" t="s">
        <v>8774</v>
      </c>
      <c r="X823" s="5" t="s">
        <v>8774</v>
      </c>
      <c r="Y823" s="4">
        <v>523</v>
      </c>
      <c r="Z823" s="4">
        <v>409</v>
      </c>
      <c r="AA823" s="4">
        <v>427</v>
      </c>
      <c r="AB823" s="4">
        <v>4</v>
      </c>
      <c r="AC823" s="4">
        <v>4</v>
      </c>
      <c r="AD823" s="4">
        <v>16</v>
      </c>
      <c r="AE823" s="4">
        <v>17</v>
      </c>
      <c r="AF823" s="4">
        <v>4</v>
      </c>
      <c r="AG823" s="4">
        <v>5</v>
      </c>
      <c r="AH823" s="4">
        <v>5</v>
      </c>
      <c r="AI823" s="4">
        <v>5</v>
      </c>
      <c r="AJ823" s="4">
        <v>8</v>
      </c>
      <c r="AK823" s="4">
        <v>9</v>
      </c>
      <c r="AL823" s="4">
        <v>3</v>
      </c>
      <c r="AM823" s="4">
        <v>3</v>
      </c>
      <c r="AN823" s="4">
        <v>0</v>
      </c>
      <c r="AO823" s="4">
        <v>0</v>
      </c>
      <c r="AP823" s="3" t="s">
        <v>61</v>
      </c>
      <c r="AQ823" s="3" t="s">
        <v>59</v>
      </c>
      <c r="AR823" s="6" t="str">
        <f>HYPERLINK("http://catalog.hathitrust.org/Record/000190131","HathiTrust Record")</f>
        <v>HathiTrust Record</v>
      </c>
      <c r="AS823" s="6" t="str">
        <f>HYPERLINK("https://creighton-primo.hosted.exlibrisgroup.com/primo-explore/search?tab=default_tab&amp;search_scope=EVERYTHING&amp;vid=01CRU&amp;lang=en_US&amp;offset=0&amp;query=any,contains,991001058069702656","Catalog Record")</f>
        <v>Catalog Record</v>
      </c>
      <c r="AT823" s="6" t="str">
        <f>HYPERLINK("http://www.worldcat.org/oclc/177760","WorldCat Record")</f>
        <v>WorldCat Record</v>
      </c>
      <c r="AU823" s="3" t="s">
        <v>9039</v>
      </c>
      <c r="AV823" s="3" t="s">
        <v>9040</v>
      </c>
      <c r="AW823" s="3" t="s">
        <v>9041</v>
      </c>
      <c r="AX823" s="3" t="s">
        <v>9041</v>
      </c>
      <c r="AY823" s="3" t="s">
        <v>9042</v>
      </c>
      <c r="AZ823" s="3" t="s">
        <v>75</v>
      </c>
      <c r="BC823" s="3" t="s">
        <v>9043</v>
      </c>
      <c r="BD823" s="3" t="s">
        <v>9044</v>
      </c>
    </row>
    <row r="824" spans="1:56" ht="44.25" customHeight="1" x14ac:dyDescent="0.25">
      <c r="A824" s="7" t="s">
        <v>61</v>
      </c>
      <c r="B824" s="2" t="s">
        <v>9045</v>
      </c>
      <c r="C824" s="2" t="s">
        <v>9046</v>
      </c>
      <c r="D824" s="2" t="s">
        <v>9034</v>
      </c>
      <c r="E824" s="3" t="s">
        <v>5026</v>
      </c>
      <c r="F824" s="3" t="s">
        <v>59</v>
      </c>
      <c r="G824" s="3" t="s">
        <v>7922</v>
      </c>
      <c r="H824" s="3" t="s">
        <v>61</v>
      </c>
      <c r="I824" s="3" t="s">
        <v>61</v>
      </c>
      <c r="J824" s="3" t="s">
        <v>62</v>
      </c>
      <c r="K824" s="2" t="s">
        <v>9035</v>
      </c>
      <c r="L824" s="2" t="s">
        <v>9036</v>
      </c>
      <c r="M824" s="3" t="s">
        <v>1571</v>
      </c>
      <c r="O824" s="3" t="s">
        <v>114</v>
      </c>
      <c r="P824" s="3" t="s">
        <v>192</v>
      </c>
      <c r="Q824" s="2" t="s">
        <v>9037</v>
      </c>
      <c r="R824" s="3" t="s">
        <v>68</v>
      </c>
      <c r="S824" s="4">
        <v>0</v>
      </c>
      <c r="T824" s="4">
        <v>1</v>
      </c>
      <c r="V824" s="5" t="s">
        <v>9038</v>
      </c>
      <c r="W824" s="5" t="s">
        <v>8774</v>
      </c>
      <c r="X824" s="5" t="s">
        <v>8774</v>
      </c>
      <c r="Y824" s="4">
        <v>523</v>
      </c>
      <c r="Z824" s="4">
        <v>409</v>
      </c>
      <c r="AA824" s="4">
        <v>427</v>
      </c>
      <c r="AB824" s="4">
        <v>4</v>
      </c>
      <c r="AC824" s="4">
        <v>4</v>
      </c>
      <c r="AD824" s="4">
        <v>16</v>
      </c>
      <c r="AE824" s="4">
        <v>17</v>
      </c>
      <c r="AF824" s="4">
        <v>4</v>
      </c>
      <c r="AG824" s="4">
        <v>5</v>
      </c>
      <c r="AH824" s="4">
        <v>5</v>
      </c>
      <c r="AI824" s="4">
        <v>5</v>
      </c>
      <c r="AJ824" s="4">
        <v>8</v>
      </c>
      <c r="AK824" s="4">
        <v>9</v>
      </c>
      <c r="AL824" s="4">
        <v>3</v>
      </c>
      <c r="AM824" s="4">
        <v>3</v>
      </c>
      <c r="AN824" s="4">
        <v>0</v>
      </c>
      <c r="AO824" s="4">
        <v>0</v>
      </c>
      <c r="AP824" s="3" t="s">
        <v>61</v>
      </c>
      <c r="AQ824" s="3" t="s">
        <v>59</v>
      </c>
      <c r="AR824" s="6" t="str">
        <f>HYPERLINK("http://catalog.hathitrust.org/Record/000190131","HathiTrust Record")</f>
        <v>HathiTrust Record</v>
      </c>
      <c r="AS824" s="6" t="str">
        <f>HYPERLINK("https://creighton-primo.hosted.exlibrisgroup.com/primo-explore/search?tab=default_tab&amp;search_scope=EVERYTHING&amp;vid=01CRU&amp;lang=en_US&amp;offset=0&amp;query=any,contains,991001058069702656","Catalog Record")</f>
        <v>Catalog Record</v>
      </c>
      <c r="AT824" s="6" t="str">
        <f>HYPERLINK("http://www.worldcat.org/oclc/177760","WorldCat Record")</f>
        <v>WorldCat Record</v>
      </c>
      <c r="AU824" s="3" t="s">
        <v>9039</v>
      </c>
      <c r="AV824" s="3" t="s">
        <v>9040</v>
      </c>
      <c r="AW824" s="3" t="s">
        <v>9041</v>
      </c>
      <c r="AX824" s="3" t="s">
        <v>9041</v>
      </c>
      <c r="AY824" s="3" t="s">
        <v>9042</v>
      </c>
      <c r="AZ824" s="3" t="s">
        <v>75</v>
      </c>
      <c r="BC824" s="3" t="s">
        <v>9047</v>
      </c>
      <c r="BD824" s="3" t="s">
        <v>9048</v>
      </c>
    </row>
    <row r="825" spans="1:56" ht="44.25" customHeight="1" x14ac:dyDescent="0.25">
      <c r="A825" s="7" t="s">
        <v>61</v>
      </c>
      <c r="B825" s="2" t="s">
        <v>9049</v>
      </c>
      <c r="C825" s="2" t="s">
        <v>9050</v>
      </c>
      <c r="D825" s="2" t="s">
        <v>9051</v>
      </c>
      <c r="F825" s="3" t="s">
        <v>61</v>
      </c>
      <c r="G825" s="3" t="s">
        <v>60</v>
      </c>
      <c r="H825" s="3" t="s">
        <v>61</v>
      </c>
      <c r="I825" s="3" t="s">
        <v>61</v>
      </c>
      <c r="J825" s="3" t="s">
        <v>62</v>
      </c>
      <c r="K825" s="2" t="s">
        <v>9052</v>
      </c>
      <c r="L825" s="2" t="s">
        <v>9053</v>
      </c>
      <c r="M825" s="3" t="s">
        <v>605</v>
      </c>
      <c r="N825" s="2" t="s">
        <v>4680</v>
      </c>
      <c r="O825" s="3" t="s">
        <v>114</v>
      </c>
      <c r="P825" s="3" t="s">
        <v>235</v>
      </c>
      <c r="R825" s="3" t="s">
        <v>68</v>
      </c>
      <c r="S825" s="4">
        <v>3</v>
      </c>
      <c r="T825" s="4">
        <v>3</v>
      </c>
      <c r="U825" s="5" t="s">
        <v>9054</v>
      </c>
      <c r="V825" s="5" t="s">
        <v>9054</v>
      </c>
      <c r="W825" s="5" t="s">
        <v>3802</v>
      </c>
      <c r="X825" s="5" t="s">
        <v>3802</v>
      </c>
      <c r="Y825" s="4">
        <v>81</v>
      </c>
      <c r="Z825" s="4">
        <v>69</v>
      </c>
      <c r="AA825" s="4">
        <v>179</v>
      </c>
      <c r="AB825" s="4">
        <v>1</v>
      </c>
      <c r="AC825" s="4">
        <v>1</v>
      </c>
      <c r="AD825" s="4">
        <v>2</v>
      </c>
      <c r="AE825" s="4">
        <v>8</v>
      </c>
      <c r="AF825" s="4">
        <v>1</v>
      </c>
      <c r="AG825" s="4">
        <v>4</v>
      </c>
      <c r="AH825" s="4">
        <v>0</v>
      </c>
      <c r="AI825" s="4">
        <v>1</v>
      </c>
      <c r="AJ825" s="4">
        <v>1</v>
      </c>
      <c r="AK825" s="4">
        <v>5</v>
      </c>
      <c r="AL825" s="4">
        <v>0</v>
      </c>
      <c r="AM825" s="4">
        <v>0</v>
      </c>
      <c r="AN825" s="4">
        <v>0</v>
      </c>
      <c r="AO825" s="4">
        <v>0</v>
      </c>
      <c r="AP825" s="3" t="s">
        <v>61</v>
      </c>
      <c r="AQ825" s="3" t="s">
        <v>61</v>
      </c>
      <c r="AS825" s="6" t="str">
        <f>HYPERLINK("https://creighton-primo.hosted.exlibrisgroup.com/primo-explore/search?tab=default_tab&amp;search_scope=EVERYTHING&amp;vid=01CRU&amp;lang=en_US&amp;offset=0&amp;query=any,contains,991002032839702656","Catalog Record")</f>
        <v>Catalog Record</v>
      </c>
      <c r="AT825" s="6" t="str">
        <f>HYPERLINK("http://www.worldcat.org/oclc/25874268","WorldCat Record")</f>
        <v>WorldCat Record</v>
      </c>
      <c r="AU825" s="3" t="s">
        <v>9055</v>
      </c>
      <c r="AV825" s="3" t="s">
        <v>9056</v>
      </c>
      <c r="AW825" s="3" t="s">
        <v>9057</v>
      </c>
      <c r="AX825" s="3" t="s">
        <v>9057</v>
      </c>
      <c r="AY825" s="3" t="s">
        <v>9058</v>
      </c>
      <c r="AZ825" s="3" t="s">
        <v>75</v>
      </c>
      <c r="BB825" s="3" t="s">
        <v>9059</v>
      </c>
      <c r="BC825" s="3" t="s">
        <v>9060</v>
      </c>
      <c r="BD825" s="3" t="s">
        <v>9061</v>
      </c>
    </row>
    <row r="826" spans="1:56" ht="44.25" customHeight="1" x14ac:dyDescent="0.25">
      <c r="A826" s="7" t="s">
        <v>61</v>
      </c>
      <c r="B826" s="2" t="s">
        <v>9062</v>
      </c>
      <c r="C826" s="2" t="s">
        <v>9063</v>
      </c>
      <c r="D826" s="2" t="s">
        <v>9064</v>
      </c>
      <c r="F826" s="3" t="s">
        <v>61</v>
      </c>
      <c r="G826" s="3" t="s">
        <v>60</v>
      </c>
      <c r="H826" s="3" t="s">
        <v>61</v>
      </c>
      <c r="I826" s="3" t="s">
        <v>61</v>
      </c>
      <c r="J826" s="3" t="s">
        <v>62</v>
      </c>
      <c r="K826" s="2" t="s">
        <v>9065</v>
      </c>
      <c r="L826" s="2" t="s">
        <v>9066</v>
      </c>
      <c r="M826" s="3" t="s">
        <v>205</v>
      </c>
      <c r="O826" s="3" t="s">
        <v>114</v>
      </c>
      <c r="P826" s="3" t="s">
        <v>235</v>
      </c>
      <c r="R826" s="3" t="s">
        <v>68</v>
      </c>
      <c r="S826" s="4">
        <v>6</v>
      </c>
      <c r="T826" s="4">
        <v>6</v>
      </c>
      <c r="U826" s="5" t="s">
        <v>9067</v>
      </c>
      <c r="V826" s="5" t="s">
        <v>9067</v>
      </c>
      <c r="W826" s="5" t="s">
        <v>8774</v>
      </c>
      <c r="X826" s="5" t="s">
        <v>8774</v>
      </c>
      <c r="Y826" s="4">
        <v>303</v>
      </c>
      <c r="Z826" s="4">
        <v>285</v>
      </c>
      <c r="AA826" s="4">
        <v>370</v>
      </c>
      <c r="AB826" s="4">
        <v>2</v>
      </c>
      <c r="AC826" s="4">
        <v>2</v>
      </c>
      <c r="AD826" s="4">
        <v>15</v>
      </c>
      <c r="AE826" s="4">
        <v>16</v>
      </c>
      <c r="AF826" s="4">
        <v>6</v>
      </c>
      <c r="AG826" s="4">
        <v>6</v>
      </c>
      <c r="AH826" s="4">
        <v>6</v>
      </c>
      <c r="AI826" s="4">
        <v>7</v>
      </c>
      <c r="AJ826" s="4">
        <v>6</v>
      </c>
      <c r="AK826" s="4">
        <v>6</v>
      </c>
      <c r="AL826" s="4">
        <v>1</v>
      </c>
      <c r="AM826" s="4">
        <v>1</v>
      </c>
      <c r="AN826" s="4">
        <v>0</v>
      </c>
      <c r="AO826" s="4">
        <v>0</v>
      </c>
      <c r="AP826" s="3" t="s">
        <v>61</v>
      </c>
      <c r="AQ826" s="3" t="s">
        <v>61</v>
      </c>
      <c r="AS826" s="6" t="str">
        <f>HYPERLINK("https://creighton-primo.hosted.exlibrisgroup.com/primo-explore/search?tab=default_tab&amp;search_scope=EVERYTHING&amp;vid=01CRU&amp;lang=en_US&amp;offset=0&amp;query=any,contains,991000528579702656","Catalog Record")</f>
        <v>Catalog Record</v>
      </c>
      <c r="AT826" s="6" t="str">
        <f>HYPERLINK("http://www.worldcat.org/oclc/11378455","WorldCat Record")</f>
        <v>WorldCat Record</v>
      </c>
      <c r="AU826" s="3" t="s">
        <v>9068</v>
      </c>
      <c r="AV826" s="3" t="s">
        <v>9069</v>
      </c>
      <c r="AW826" s="3" t="s">
        <v>9070</v>
      </c>
      <c r="AX826" s="3" t="s">
        <v>9070</v>
      </c>
      <c r="AY826" s="3" t="s">
        <v>9071</v>
      </c>
      <c r="AZ826" s="3" t="s">
        <v>75</v>
      </c>
      <c r="BB826" s="3" t="s">
        <v>9072</v>
      </c>
      <c r="BC826" s="3" t="s">
        <v>9073</v>
      </c>
      <c r="BD826" s="3" t="s">
        <v>9074</v>
      </c>
    </row>
    <row r="827" spans="1:56" ht="44.25" customHeight="1" x14ac:dyDescent="0.25">
      <c r="A827" s="7" t="s">
        <v>61</v>
      </c>
      <c r="B827" s="2" t="s">
        <v>9075</v>
      </c>
      <c r="C827" s="2" t="s">
        <v>9076</v>
      </c>
      <c r="D827" s="2" t="s">
        <v>9077</v>
      </c>
      <c r="F827" s="3" t="s">
        <v>61</v>
      </c>
      <c r="G827" s="3" t="s">
        <v>60</v>
      </c>
      <c r="H827" s="3" t="s">
        <v>61</v>
      </c>
      <c r="I827" s="3" t="s">
        <v>61</v>
      </c>
      <c r="J827" s="3" t="s">
        <v>62</v>
      </c>
      <c r="K827" s="2" t="s">
        <v>9078</v>
      </c>
      <c r="L827" s="2" t="s">
        <v>9079</v>
      </c>
      <c r="M827" s="3" t="s">
        <v>942</v>
      </c>
      <c r="O827" s="3" t="s">
        <v>114</v>
      </c>
      <c r="P827" s="3" t="s">
        <v>67</v>
      </c>
      <c r="R827" s="3" t="s">
        <v>68</v>
      </c>
      <c r="S827" s="4">
        <v>10</v>
      </c>
      <c r="T827" s="4">
        <v>10</v>
      </c>
      <c r="U827" s="5" t="s">
        <v>3180</v>
      </c>
      <c r="V827" s="5" t="s">
        <v>3180</v>
      </c>
      <c r="W827" s="5" t="s">
        <v>9080</v>
      </c>
      <c r="X827" s="5" t="s">
        <v>9080</v>
      </c>
      <c r="Y827" s="4">
        <v>1607</v>
      </c>
      <c r="Z827" s="4">
        <v>1529</v>
      </c>
      <c r="AA827" s="4">
        <v>1532</v>
      </c>
      <c r="AB827" s="4">
        <v>17</v>
      </c>
      <c r="AC827" s="4">
        <v>17</v>
      </c>
      <c r="AD827" s="4">
        <v>42</v>
      </c>
      <c r="AE827" s="4">
        <v>42</v>
      </c>
      <c r="AF827" s="4">
        <v>20</v>
      </c>
      <c r="AG827" s="4">
        <v>20</v>
      </c>
      <c r="AH827" s="4">
        <v>5</v>
      </c>
      <c r="AI827" s="4">
        <v>5</v>
      </c>
      <c r="AJ827" s="4">
        <v>18</v>
      </c>
      <c r="AK827" s="4">
        <v>18</v>
      </c>
      <c r="AL827" s="4">
        <v>7</v>
      </c>
      <c r="AM827" s="4">
        <v>7</v>
      </c>
      <c r="AN827" s="4">
        <v>0</v>
      </c>
      <c r="AO827" s="4">
        <v>0</v>
      </c>
      <c r="AP827" s="3" t="s">
        <v>61</v>
      </c>
      <c r="AQ827" s="3" t="s">
        <v>61</v>
      </c>
      <c r="AS827" s="6" t="str">
        <f>HYPERLINK("https://creighton-primo.hosted.exlibrisgroup.com/primo-explore/search?tab=default_tab&amp;search_scope=EVERYTHING&amp;vid=01CRU&amp;lang=en_US&amp;offset=0&amp;query=any,contains,991004263319702656","Catalog Record")</f>
        <v>Catalog Record</v>
      </c>
      <c r="AT827" s="6" t="str">
        <f>HYPERLINK("http://www.worldcat.org/oclc/491122","WorldCat Record")</f>
        <v>WorldCat Record</v>
      </c>
      <c r="AU827" s="3" t="s">
        <v>9081</v>
      </c>
      <c r="AV827" s="3" t="s">
        <v>9082</v>
      </c>
      <c r="AW827" s="3" t="s">
        <v>9083</v>
      </c>
      <c r="AX827" s="3" t="s">
        <v>9083</v>
      </c>
      <c r="AY827" s="3" t="s">
        <v>9084</v>
      </c>
      <c r="AZ827" s="3" t="s">
        <v>75</v>
      </c>
      <c r="BC827" s="3" t="s">
        <v>9085</v>
      </c>
      <c r="BD827" s="3" t="s">
        <v>9086</v>
      </c>
    </row>
    <row r="828" spans="1:56" ht="44.25" customHeight="1" x14ac:dyDescent="0.25">
      <c r="A828" s="7" t="s">
        <v>61</v>
      </c>
      <c r="B828" s="2" t="s">
        <v>9087</v>
      </c>
      <c r="C828" s="2" t="s">
        <v>9088</v>
      </c>
      <c r="D828" s="2" t="s">
        <v>9089</v>
      </c>
      <c r="F828" s="3" t="s">
        <v>61</v>
      </c>
      <c r="G828" s="3" t="s">
        <v>60</v>
      </c>
      <c r="H828" s="3" t="s">
        <v>61</v>
      </c>
      <c r="I828" s="3" t="s">
        <v>61</v>
      </c>
      <c r="J828" s="3" t="s">
        <v>62</v>
      </c>
      <c r="K828" s="2" t="s">
        <v>9090</v>
      </c>
      <c r="L828" s="2" t="s">
        <v>9091</v>
      </c>
      <c r="M828" s="3" t="s">
        <v>2323</v>
      </c>
      <c r="N828" s="2" t="s">
        <v>634</v>
      </c>
      <c r="O828" s="3" t="s">
        <v>114</v>
      </c>
      <c r="P828" s="3" t="s">
        <v>235</v>
      </c>
      <c r="Q828" s="2" t="s">
        <v>9092</v>
      </c>
      <c r="R828" s="3" t="s">
        <v>68</v>
      </c>
      <c r="S828" s="4">
        <v>1</v>
      </c>
      <c r="T828" s="4">
        <v>1</v>
      </c>
      <c r="U828" s="5" t="s">
        <v>9093</v>
      </c>
      <c r="V828" s="5" t="s">
        <v>9093</v>
      </c>
      <c r="W828" s="5" t="s">
        <v>9093</v>
      </c>
      <c r="X828" s="5" t="s">
        <v>9093</v>
      </c>
      <c r="Y828" s="4">
        <v>169</v>
      </c>
      <c r="Z828" s="4">
        <v>151</v>
      </c>
      <c r="AA828" s="4">
        <v>169</v>
      </c>
      <c r="AB828" s="4">
        <v>2</v>
      </c>
      <c r="AC828" s="4">
        <v>2</v>
      </c>
      <c r="AD828" s="4">
        <v>9</v>
      </c>
      <c r="AE828" s="4">
        <v>9</v>
      </c>
      <c r="AF828" s="4">
        <v>2</v>
      </c>
      <c r="AG828" s="4">
        <v>2</v>
      </c>
      <c r="AH828" s="4">
        <v>4</v>
      </c>
      <c r="AI828" s="4">
        <v>4</v>
      </c>
      <c r="AJ828" s="4">
        <v>5</v>
      </c>
      <c r="AK828" s="4">
        <v>5</v>
      </c>
      <c r="AL828" s="4">
        <v>1</v>
      </c>
      <c r="AM828" s="4">
        <v>1</v>
      </c>
      <c r="AN828" s="4">
        <v>0</v>
      </c>
      <c r="AO828" s="4">
        <v>0</v>
      </c>
      <c r="AP828" s="3" t="s">
        <v>61</v>
      </c>
      <c r="AQ828" s="3" t="s">
        <v>61</v>
      </c>
      <c r="AS828" s="6" t="str">
        <f>HYPERLINK("https://creighton-primo.hosted.exlibrisgroup.com/primo-explore/search?tab=default_tab&amp;search_scope=EVERYTHING&amp;vid=01CRU&amp;lang=en_US&amp;offset=0&amp;query=any,contains,991004611649702656","Catalog Record")</f>
        <v>Catalog Record</v>
      </c>
      <c r="AT828" s="6" t="str">
        <f>HYPERLINK("http://www.worldcat.org/oclc/56198751","WorldCat Record")</f>
        <v>WorldCat Record</v>
      </c>
      <c r="AU828" s="3" t="s">
        <v>9094</v>
      </c>
      <c r="AV828" s="3" t="s">
        <v>9095</v>
      </c>
      <c r="AW828" s="3" t="s">
        <v>9096</v>
      </c>
      <c r="AX828" s="3" t="s">
        <v>9096</v>
      </c>
      <c r="AY828" s="3" t="s">
        <v>9097</v>
      </c>
      <c r="AZ828" s="3" t="s">
        <v>75</v>
      </c>
      <c r="BB828" s="3" t="s">
        <v>9098</v>
      </c>
      <c r="BC828" s="3" t="s">
        <v>9099</v>
      </c>
      <c r="BD828" s="3" t="s">
        <v>9100</v>
      </c>
    </row>
    <row r="829" spans="1:56" ht="44.25" customHeight="1" x14ac:dyDescent="0.25">
      <c r="A829" s="7" t="s">
        <v>61</v>
      </c>
      <c r="B829" s="2" t="s">
        <v>9101</v>
      </c>
      <c r="C829" s="2" t="s">
        <v>9102</v>
      </c>
      <c r="D829" s="2" t="s">
        <v>9103</v>
      </c>
      <c r="F829" s="3" t="s">
        <v>61</v>
      </c>
      <c r="G829" s="3" t="s">
        <v>60</v>
      </c>
      <c r="H829" s="3" t="s">
        <v>61</v>
      </c>
      <c r="I829" s="3" t="s">
        <v>61</v>
      </c>
      <c r="J829" s="3" t="s">
        <v>62</v>
      </c>
      <c r="K829" s="2" t="s">
        <v>4451</v>
      </c>
      <c r="L829" s="2" t="s">
        <v>9104</v>
      </c>
      <c r="M829" s="3" t="s">
        <v>350</v>
      </c>
      <c r="N829" s="2" t="s">
        <v>679</v>
      </c>
      <c r="O829" s="3" t="s">
        <v>114</v>
      </c>
      <c r="P829" s="3" t="s">
        <v>6440</v>
      </c>
      <c r="Q829" s="2" t="s">
        <v>9105</v>
      </c>
      <c r="R829" s="3" t="s">
        <v>68</v>
      </c>
      <c r="S829" s="4">
        <v>6</v>
      </c>
      <c r="T829" s="4">
        <v>6</v>
      </c>
      <c r="U829" s="5" t="s">
        <v>9106</v>
      </c>
      <c r="V829" s="5" t="s">
        <v>9106</v>
      </c>
      <c r="W829" s="5" t="s">
        <v>8774</v>
      </c>
      <c r="X829" s="5" t="s">
        <v>8774</v>
      </c>
      <c r="Y829" s="4">
        <v>259</v>
      </c>
      <c r="Z829" s="4">
        <v>238</v>
      </c>
      <c r="AA829" s="4">
        <v>344</v>
      </c>
      <c r="AB829" s="4">
        <v>3</v>
      </c>
      <c r="AC829" s="4">
        <v>3</v>
      </c>
      <c r="AD829" s="4">
        <v>9</v>
      </c>
      <c r="AE829" s="4">
        <v>11</v>
      </c>
      <c r="AF829" s="4">
        <v>4</v>
      </c>
      <c r="AG829" s="4">
        <v>4</v>
      </c>
      <c r="AH829" s="4">
        <v>1</v>
      </c>
      <c r="AI829" s="4">
        <v>2</v>
      </c>
      <c r="AJ829" s="4">
        <v>3</v>
      </c>
      <c r="AK829" s="4">
        <v>5</v>
      </c>
      <c r="AL829" s="4">
        <v>2</v>
      </c>
      <c r="AM829" s="4">
        <v>2</v>
      </c>
      <c r="AN829" s="4">
        <v>0</v>
      </c>
      <c r="AO829" s="4">
        <v>0</v>
      </c>
      <c r="AP829" s="3" t="s">
        <v>61</v>
      </c>
      <c r="AQ829" s="3" t="s">
        <v>59</v>
      </c>
      <c r="AR829" s="6" t="str">
        <f>HYPERLINK("http://catalog.hathitrust.org/Record/000724359","HathiTrust Record")</f>
        <v>HathiTrust Record</v>
      </c>
      <c r="AS829" s="6" t="str">
        <f>HYPERLINK("https://creighton-primo.hosted.exlibrisgroup.com/primo-explore/search?tab=default_tab&amp;search_scope=EVERYTHING&amp;vid=01CRU&amp;lang=en_US&amp;offset=0&amp;query=any,contains,991004935389702656","Catalog Record")</f>
        <v>Catalog Record</v>
      </c>
      <c r="AT829" s="6" t="str">
        <f>HYPERLINK("http://www.worldcat.org/oclc/6142692","WorldCat Record")</f>
        <v>WorldCat Record</v>
      </c>
      <c r="AU829" s="3" t="s">
        <v>9107</v>
      </c>
      <c r="AV829" s="3" t="s">
        <v>9108</v>
      </c>
      <c r="AW829" s="3" t="s">
        <v>9109</v>
      </c>
      <c r="AX829" s="3" t="s">
        <v>9109</v>
      </c>
      <c r="AY829" s="3" t="s">
        <v>9110</v>
      </c>
      <c r="AZ829" s="3" t="s">
        <v>75</v>
      </c>
      <c r="BC829" s="3" t="s">
        <v>9111</v>
      </c>
      <c r="BD829" s="3" t="s">
        <v>9112</v>
      </c>
    </row>
    <row r="830" spans="1:56" ht="44.25" customHeight="1" x14ac:dyDescent="0.25">
      <c r="A830" s="7" t="s">
        <v>61</v>
      </c>
      <c r="B830" s="2" t="s">
        <v>9113</v>
      </c>
      <c r="C830" s="2" t="s">
        <v>9114</v>
      </c>
      <c r="D830" s="2" t="s">
        <v>9115</v>
      </c>
      <c r="F830" s="3" t="s">
        <v>61</v>
      </c>
      <c r="G830" s="3" t="s">
        <v>60</v>
      </c>
      <c r="H830" s="3" t="s">
        <v>61</v>
      </c>
      <c r="I830" s="3" t="s">
        <v>61</v>
      </c>
      <c r="J830" s="3" t="s">
        <v>62</v>
      </c>
      <c r="K830" s="2" t="s">
        <v>4451</v>
      </c>
      <c r="L830" s="2" t="s">
        <v>9116</v>
      </c>
      <c r="M830" s="3" t="s">
        <v>436</v>
      </c>
      <c r="N830" s="2" t="s">
        <v>2877</v>
      </c>
      <c r="O830" s="3" t="s">
        <v>114</v>
      </c>
      <c r="P830" s="3" t="s">
        <v>192</v>
      </c>
      <c r="R830" s="3" t="s">
        <v>68</v>
      </c>
      <c r="S830" s="4">
        <v>4</v>
      </c>
      <c r="T830" s="4">
        <v>4</v>
      </c>
      <c r="U830" s="5" t="s">
        <v>7386</v>
      </c>
      <c r="V830" s="5" t="s">
        <v>7386</v>
      </c>
      <c r="W830" s="5" t="s">
        <v>9117</v>
      </c>
      <c r="X830" s="5" t="s">
        <v>9117</v>
      </c>
      <c r="Y830" s="4">
        <v>176</v>
      </c>
      <c r="Z830" s="4">
        <v>118</v>
      </c>
      <c r="AA830" s="4">
        <v>119</v>
      </c>
      <c r="AB830" s="4">
        <v>1</v>
      </c>
      <c r="AC830" s="4">
        <v>1</v>
      </c>
      <c r="AD830" s="4">
        <v>3</v>
      </c>
      <c r="AE830" s="4">
        <v>3</v>
      </c>
      <c r="AF830" s="4">
        <v>0</v>
      </c>
      <c r="AG830" s="4">
        <v>0</v>
      </c>
      <c r="AH830" s="4">
        <v>1</v>
      </c>
      <c r="AI830" s="4">
        <v>1</v>
      </c>
      <c r="AJ830" s="4">
        <v>3</v>
      </c>
      <c r="AK830" s="4">
        <v>3</v>
      </c>
      <c r="AL830" s="4">
        <v>0</v>
      </c>
      <c r="AM830" s="4">
        <v>0</v>
      </c>
      <c r="AN830" s="4">
        <v>0</v>
      </c>
      <c r="AO830" s="4">
        <v>0</v>
      </c>
      <c r="AP830" s="3" t="s">
        <v>61</v>
      </c>
      <c r="AQ830" s="3" t="s">
        <v>59</v>
      </c>
      <c r="AR830" s="6" t="str">
        <f>HYPERLINK("http://catalog.hathitrust.org/Record/002451588","HathiTrust Record")</f>
        <v>HathiTrust Record</v>
      </c>
      <c r="AS830" s="6" t="str">
        <f>HYPERLINK("https://creighton-primo.hosted.exlibrisgroup.com/primo-explore/search?tab=default_tab&amp;search_scope=EVERYTHING&amp;vid=01CRU&amp;lang=en_US&amp;offset=0&amp;query=any,contains,991001600379702656","Catalog Record")</f>
        <v>Catalog Record</v>
      </c>
      <c r="AT830" s="6" t="str">
        <f>HYPERLINK("http://www.worldcat.org/oclc/20669909","WorldCat Record")</f>
        <v>WorldCat Record</v>
      </c>
      <c r="AU830" s="3" t="s">
        <v>9118</v>
      </c>
      <c r="AV830" s="3" t="s">
        <v>9119</v>
      </c>
      <c r="AW830" s="3" t="s">
        <v>9120</v>
      </c>
      <c r="AX830" s="3" t="s">
        <v>9120</v>
      </c>
      <c r="AY830" s="3" t="s">
        <v>9121</v>
      </c>
      <c r="AZ830" s="3" t="s">
        <v>75</v>
      </c>
      <c r="BB830" s="3" t="s">
        <v>9122</v>
      </c>
      <c r="BC830" s="3" t="s">
        <v>9123</v>
      </c>
      <c r="BD830" s="3" t="s">
        <v>9124</v>
      </c>
    </row>
    <row r="831" spans="1:56" ht="44.25" customHeight="1" x14ac:dyDescent="0.25">
      <c r="A831" s="7" t="s">
        <v>61</v>
      </c>
      <c r="B831" s="2" t="s">
        <v>9125</v>
      </c>
      <c r="C831" s="2" t="s">
        <v>9126</v>
      </c>
      <c r="D831" s="2" t="s">
        <v>9127</v>
      </c>
      <c r="F831" s="3" t="s">
        <v>61</v>
      </c>
      <c r="G831" s="3" t="s">
        <v>60</v>
      </c>
      <c r="H831" s="3" t="s">
        <v>61</v>
      </c>
      <c r="I831" s="3" t="s">
        <v>61</v>
      </c>
      <c r="J831" s="3" t="s">
        <v>62</v>
      </c>
      <c r="K831" s="2" t="s">
        <v>9128</v>
      </c>
      <c r="L831" s="2" t="s">
        <v>9129</v>
      </c>
      <c r="M831" s="3" t="s">
        <v>1976</v>
      </c>
      <c r="O831" s="3" t="s">
        <v>114</v>
      </c>
      <c r="P831" s="3" t="s">
        <v>235</v>
      </c>
      <c r="Q831" s="2" t="s">
        <v>9130</v>
      </c>
      <c r="R831" s="3" t="s">
        <v>68</v>
      </c>
      <c r="S831" s="4">
        <v>7</v>
      </c>
      <c r="T831" s="4">
        <v>7</v>
      </c>
      <c r="U831" s="5" t="s">
        <v>9131</v>
      </c>
      <c r="V831" s="5" t="s">
        <v>9131</v>
      </c>
      <c r="W831" s="5" t="s">
        <v>9132</v>
      </c>
      <c r="X831" s="5" t="s">
        <v>9132</v>
      </c>
      <c r="Y831" s="4">
        <v>1048</v>
      </c>
      <c r="Z831" s="4">
        <v>1002</v>
      </c>
      <c r="AA831" s="4">
        <v>1204</v>
      </c>
      <c r="AB831" s="4">
        <v>8</v>
      </c>
      <c r="AC831" s="4">
        <v>8</v>
      </c>
      <c r="AD831" s="4">
        <v>26</v>
      </c>
      <c r="AE831" s="4">
        <v>27</v>
      </c>
      <c r="AF831" s="4">
        <v>11</v>
      </c>
      <c r="AG831" s="4">
        <v>11</v>
      </c>
      <c r="AH831" s="4">
        <v>3</v>
      </c>
      <c r="AI831" s="4">
        <v>4</v>
      </c>
      <c r="AJ831" s="4">
        <v>12</v>
      </c>
      <c r="AK831" s="4">
        <v>13</v>
      </c>
      <c r="AL831" s="4">
        <v>6</v>
      </c>
      <c r="AM831" s="4">
        <v>6</v>
      </c>
      <c r="AN831" s="4">
        <v>0</v>
      </c>
      <c r="AO831" s="4">
        <v>0</v>
      </c>
      <c r="AP831" s="3" t="s">
        <v>61</v>
      </c>
      <c r="AQ831" s="3" t="s">
        <v>61</v>
      </c>
      <c r="AS831" s="6" t="str">
        <f>HYPERLINK("https://creighton-primo.hosted.exlibrisgroup.com/primo-explore/search?tab=default_tab&amp;search_scope=EVERYTHING&amp;vid=01CRU&amp;lang=en_US&amp;offset=0&amp;query=any,contains,991004121079702656","Catalog Record")</f>
        <v>Catalog Record</v>
      </c>
      <c r="AT831" s="6" t="str">
        <f>HYPERLINK("http://www.worldcat.org/oclc/51804681","WorldCat Record")</f>
        <v>WorldCat Record</v>
      </c>
      <c r="AU831" s="3" t="s">
        <v>9133</v>
      </c>
      <c r="AV831" s="3" t="s">
        <v>9134</v>
      </c>
      <c r="AW831" s="3" t="s">
        <v>9135</v>
      </c>
      <c r="AX831" s="3" t="s">
        <v>9135</v>
      </c>
      <c r="AY831" s="3" t="s">
        <v>9136</v>
      </c>
      <c r="AZ831" s="3" t="s">
        <v>75</v>
      </c>
      <c r="BB831" s="3" t="s">
        <v>9137</v>
      </c>
      <c r="BC831" s="3" t="s">
        <v>9138</v>
      </c>
      <c r="BD831" s="3" t="s">
        <v>9139</v>
      </c>
    </row>
    <row r="832" spans="1:56" ht="44.25" customHeight="1" x14ac:dyDescent="0.25">
      <c r="A832" s="7" t="s">
        <v>61</v>
      </c>
      <c r="B832" s="2" t="s">
        <v>9140</v>
      </c>
      <c r="C832" s="2" t="s">
        <v>9141</v>
      </c>
      <c r="D832" s="2" t="s">
        <v>9142</v>
      </c>
      <c r="F832" s="3" t="s">
        <v>61</v>
      </c>
      <c r="G832" s="3" t="s">
        <v>60</v>
      </c>
      <c r="H832" s="3" t="s">
        <v>61</v>
      </c>
      <c r="I832" s="3" t="s">
        <v>61</v>
      </c>
      <c r="J832" s="3" t="s">
        <v>62</v>
      </c>
      <c r="K832" s="2" t="s">
        <v>9143</v>
      </c>
      <c r="L832" s="2" t="s">
        <v>9144</v>
      </c>
      <c r="M832" s="3" t="s">
        <v>1758</v>
      </c>
      <c r="N832" s="2" t="s">
        <v>634</v>
      </c>
      <c r="O832" s="3" t="s">
        <v>114</v>
      </c>
      <c r="P832" s="3" t="s">
        <v>235</v>
      </c>
      <c r="R832" s="3" t="s">
        <v>68</v>
      </c>
      <c r="S832" s="4">
        <v>2</v>
      </c>
      <c r="T832" s="4">
        <v>2</v>
      </c>
      <c r="U832" s="5" t="s">
        <v>9145</v>
      </c>
      <c r="V832" s="5" t="s">
        <v>9145</v>
      </c>
      <c r="W832" s="5" t="s">
        <v>2699</v>
      </c>
      <c r="X832" s="5" t="s">
        <v>2699</v>
      </c>
      <c r="Y832" s="4">
        <v>1090</v>
      </c>
      <c r="Z832" s="4">
        <v>1032</v>
      </c>
      <c r="AA832" s="4">
        <v>1173</v>
      </c>
      <c r="AB832" s="4">
        <v>10</v>
      </c>
      <c r="AC832" s="4">
        <v>14</v>
      </c>
      <c r="AD832" s="4">
        <v>26</v>
      </c>
      <c r="AE832" s="4">
        <v>32</v>
      </c>
      <c r="AF832" s="4">
        <v>10</v>
      </c>
      <c r="AG832" s="4">
        <v>14</v>
      </c>
      <c r="AH832" s="4">
        <v>6</v>
      </c>
      <c r="AI832" s="4">
        <v>7</v>
      </c>
      <c r="AJ832" s="4">
        <v>11</v>
      </c>
      <c r="AK832" s="4">
        <v>13</v>
      </c>
      <c r="AL832" s="4">
        <v>5</v>
      </c>
      <c r="AM832" s="4">
        <v>6</v>
      </c>
      <c r="AN832" s="4">
        <v>0</v>
      </c>
      <c r="AO832" s="4">
        <v>0</v>
      </c>
      <c r="AP832" s="3" t="s">
        <v>61</v>
      </c>
      <c r="AQ832" s="3" t="s">
        <v>59</v>
      </c>
      <c r="AR832" s="6" t="str">
        <f>HYPERLINK("http://catalog.hathitrust.org/Record/000150192","HathiTrust Record")</f>
        <v>HathiTrust Record</v>
      </c>
      <c r="AS832" s="6" t="str">
        <f>HYPERLINK("https://creighton-primo.hosted.exlibrisgroup.com/primo-explore/search?tab=default_tab&amp;search_scope=EVERYTHING&amp;vid=01CRU&amp;lang=en_US&amp;offset=0&amp;query=any,contains,991005077939702656","Catalog Record")</f>
        <v>Catalog Record</v>
      </c>
      <c r="AT832" s="6" t="str">
        <f>HYPERLINK("http://www.worldcat.org/oclc/7152266","WorldCat Record")</f>
        <v>WorldCat Record</v>
      </c>
      <c r="AU832" s="3" t="s">
        <v>9146</v>
      </c>
      <c r="AV832" s="3" t="s">
        <v>9147</v>
      </c>
      <c r="AW832" s="3" t="s">
        <v>9148</v>
      </c>
      <c r="AX832" s="3" t="s">
        <v>9148</v>
      </c>
      <c r="AY832" s="3" t="s">
        <v>9149</v>
      </c>
      <c r="AZ832" s="3" t="s">
        <v>75</v>
      </c>
      <c r="BB832" s="3" t="s">
        <v>9150</v>
      </c>
      <c r="BC832" s="3" t="s">
        <v>9151</v>
      </c>
      <c r="BD832" s="3" t="s">
        <v>9152</v>
      </c>
    </row>
    <row r="833" spans="1:56" ht="44.25" customHeight="1" x14ac:dyDescent="0.25">
      <c r="A833" s="7" t="s">
        <v>61</v>
      </c>
      <c r="B833" s="2" t="s">
        <v>9153</v>
      </c>
      <c r="C833" s="2" t="s">
        <v>9154</v>
      </c>
      <c r="D833" s="2" t="s">
        <v>9155</v>
      </c>
      <c r="F833" s="3" t="s">
        <v>61</v>
      </c>
      <c r="G833" s="3" t="s">
        <v>7922</v>
      </c>
      <c r="H833" s="3" t="s">
        <v>61</v>
      </c>
      <c r="I833" s="3" t="s">
        <v>61</v>
      </c>
      <c r="J833" s="3" t="s">
        <v>62</v>
      </c>
      <c r="K833" s="2" t="s">
        <v>8462</v>
      </c>
      <c r="L833" s="2" t="s">
        <v>9156</v>
      </c>
      <c r="M833" s="3" t="s">
        <v>1376</v>
      </c>
      <c r="O833" s="3" t="s">
        <v>114</v>
      </c>
      <c r="P833" s="3" t="s">
        <v>235</v>
      </c>
      <c r="R833" s="3" t="s">
        <v>68</v>
      </c>
      <c r="S833" s="4">
        <v>2</v>
      </c>
      <c r="T833" s="4">
        <v>2</v>
      </c>
      <c r="U833" s="5" t="s">
        <v>9157</v>
      </c>
      <c r="V833" s="5" t="s">
        <v>9157</v>
      </c>
      <c r="W833" s="5" t="s">
        <v>9158</v>
      </c>
      <c r="X833" s="5" t="s">
        <v>9158</v>
      </c>
      <c r="Y833" s="4">
        <v>1585</v>
      </c>
      <c r="Z833" s="4">
        <v>1523</v>
      </c>
      <c r="AA833" s="4">
        <v>1696</v>
      </c>
      <c r="AB833" s="4">
        <v>17</v>
      </c>
      <c r="AC833" s="4">
        <v>19</v>
      </c>
      <c r="AD833" s="4">
        <v>42</v>
      </c>
      <c r="AE833" s="4">
        <v>45</v>
      </c>
      <c r="AF833" s="4">
        <v>17</v>
      </c>
      <c r="AG833" s="4">
        <v>19</v>
      </c>
      <c r="AH833" s="4">
        <v>8</v>
      </c>
      <c r="AI833" s="4">
        <v>8</v>
      </c>
      <c r="AJ833" s="4">
        <v>15</v>
      </c>
      <c r="AK833" s="4">
        <v>15</v>
      </c>
      <c r="AL833" s="4">
        <v>8</v>
      </c>
      <c r="AM833" s="4">
        <v>9</v>
      </c>
      <c r="AN833" s="4">
        <v>1</v>
      </c>
      <c r="AO833" s="4">
        <v>1</v>
      </c>
      <c r="AP833" s="3" t="s">
        <v>61</v>
      </c>
      <c r="AQ833" s="3" t="s">
        <v>59</v>
      </c>
      <c r="AR833" s="6" t="str">
        <f>HYPERLINK("http://catalog.hathitrust.org/Record/000488805","HathiTrust Record")</f>
        <v>HathiTrust Record</v>
      </c>
      <c r="AS833" s="6" t="str">
        <f>HYPERLINK("https://creighton-primo.hosted.exlibrisgroup.com/primo-explore/search?tab=default_tab&amp;search_scope=EVERYTHING&amp;vid=01CRU&amp;lang=en_US&amp;offset=0&amp;query=any,contains,991002664919702656","Catalog Record")</f>
        <v>Catalog Record</v>
      </c>
      <c r="AT833" s="6" t="str">
        <f>HYPERLINK("http://www.worldcat.org/oclc/392838","WorldCat Record")</f>
        <v>WorldCat Record</v>
      </c>
      <c r="AU833" s="3" t="s">
        <v>9159</v>
      </c>
      <c r="AV833" s="3" t="s">
        <v>9160</v>
      </c>
      <c r="AW833" s="3" t="s">
        <v>9161</v>
      </c>
      <c r="AX833" s="3" t="s">
        <v>9161</v>
      </c>
      <c r="AY833" s="3" t="s">
        <v>9162</v>
      </c>
      <c r="AZ833" s="3" t="s">
        <v>75</v>
      </c>
      <c r="BC833" s="3" t="s">
        <v>9163</v>
      </c>
      <c r="BD833" s="3" t="s">
        <v>9164</v>
      </c>
    </row>
    <row r="834" spans="1:56" ht="44.25" customHeight="1" x14ac:dyDescent="0.25">
      <c r="A834" s="7" t="s">
        <v>61</v>
      </c>
      <c r="B834" s="2" t="s">
        <v>9165</v>
      </c>
      <c r="C834" s="2" t="s">
        <v>9166</v>
      </c>
      <c r="D834" s="2" t="s">
        <v>9167</v>
      </c>
      <c r="F834" s="3" t="s">
        <v>61</v>
      </c>
      <c r="G834" s="3" t="s">
        <v>7922</v>
      </c>
      <c r="H834" s="3" t="s">
        <v>61</v>
      </c>
      <c r="I834" s="3" t="s">
        <v>61</v>
      </c>
      <c r="J834" s="3" t="s">
        <v>62</v>
      </c>
      <c r="K834" s="2" t="s">
        <v>9168</v>
      </c>
      <c r="L834" s="2" t="s">
        <v>9169</v>
      </c>
      <c r="M834" s="3" t="s">
        <v>707</v>
      </c>
      <c r="O834" s="3" t="s">
        <v>114</v>
      </c>
      <c r="P834" s="3" t="s">
        <v>235</v>
      </c>
      <c r="R834" s="3" t="s">
        <v>68</v>
      </c>
      <c r="S834" s="4">
        <v>1</v>
      </c>
      <c r="T834" s="4">
        <v>1</v>
      </c>
      <c r="U834" s="5" t="s">
        <v>9170</v>
      </c>
      <c r="V834" s="5" t="s">
        <v>9170</v>
      </c>
      <c r="W834" s="5" t="s">
        <v>1858</v>
      </c>
      <c r="X834" s="5" t="s">
        <v>1858</v>
      </c>
      <c r="Y834" s="4">
        <v>731</v>
      </c>
      <c r="Z834" s="4">
        <v>696</v>
      </c>
      <c r="AA834" s="4">
        <v>724</v>
      </c>
      <c r="AB834" s="4">
        <v>8</v>
      </c>
      <c r="AC834" s="4">
        <v>8</v>
      </c>
      <c r="AD834" s="4">
        <v>28</v>
      </c>
      <c r="AE834" s="4">
        <v>29</v>
      </c>
      <c r="AF834" s="4">
        <v>10</v>
      </c>
      <c r="AG834" s="4">
        <v>10</v>
      </c>
      <c r="AH834" s="4">
        <v>7</v>
      </c>
      <c r="AI834" s="4">
        <v>7</v>
      </c>
      <c r="AJ834" s="4">
        <v>11</v>
      </c>
      <c r="AK834" s="4">
        <v>12</v>
      </c>
      <c r="AL834" s="4">
        <v>6</v>
      </c>
      <c r="AM834" s="4">
        <v>6</v>
      </c>
      <c r="AN834" s="4">
        <v>0</v>
      </c>
      <c r="AO834" s="4">
        <v>0</v>
      </c>
      <c r="AP834" s="3" t="s">
        <v>61</v>
      </c>
      <c r="AQ834" s="3" t="s">
        <v>59</v>
      </c>
      <c r="AR834" s="6" t="str">
        <f>HYPERLINK("http://catalog.hathitrust.org/Record/000488172","HathiTrust Record")</f>
        <v>HathiTrust Record</v>
      </c>
      <c r="AS834" s="6" t="str">
        <f>HYPERLINK("https://creighton-primo.hosted.exlibrisgroup.com/primo-explore/search?tab=default_tab&amp;search_scope=EVERYTHING&amp;vid=01CRU&amp;lang=en_US&amp;offset=0&amp;query=any,contains,991000939539702656","Catalog Record")</f>
        <v>Catalog Record</v>
      </c>
      <c r="AT834" s="6" t="str">
        <f>HYPERLINK("http://www.worldcat.org/oclc/165816","WorldCat Record")</f>
        <v>WorldCat Record</v>
      </c>
      <c r="AU834" s="3" t="s">
        <v>9171</v>
      </c>
      <c r="AV834" s="3" t="s">
        <v>9172</v>
      </c>
      <c r="AW834" s="3" t="s">
        <v>9173</v>
      </c>
      <c r="AX834" s="3" t="s">
        <v>9173</v>
      </c>
      <c r="AY834" s="3" t="s">
        <v>9174</v>
      </c>
      <c r="AZ834" s="3" t="s">
        <v>75</v>
      </c>
      <c r="BC834" s="3" t="s">
        <v>9175</v>
      </c>
      <c r="BD834" s="3" t="s">
        <v>9176</v>
      </c>
    </row>
    <row r="835" spans="1:56" ht="44.25" customHeight="1" x14ac:dyDescent="0.25">
      <c r="A835" s="7" t="s">
        <v>61</v>
      </c>
      <c r="B835" s="2" t="s">
        <v>9177</v>
      </c>
      <c r="C835" s="2" t="s">
        <v>9178</v>
      </c>
      <c r="D835" s="2" t="s">
        <v>9179</v>
      </c>
      <c r="F835" s="3" t="s">
        <v>61</v>
      </c>
      <c r="G835" s="3" t="s">
        <v>60</v>
      </c>
      <c r="H835" s="3" t="s">
        <v>61</v>
      </c>
      <c r="I835" s="3" t="s">
        <v>61</v>
      </c>
      <c r="J835" s="3" t="s">
        <v>62</v>
      </c>
      <c r="K835" s="2" t="s">
        <v>9180</v>
      </c>
      <c r="L835" s="2" t="s">
        <v>9181</v>
      </c>
      <c r="M835" s="3" t="s">
        <v>466</v>
      </c>
      <c r="N835" s="2" t="s">
        <v>679</v>
      </c>
      <c r="O835" s="3" t="s">
        <v>114</v>
      </c>
      <c r="P835" s="3" t="s">
        <v>235</v>
      </c>
      <c r="R835" s="3" t="s">
        <v>68</v>
      </c>
      <c r="S835" s="4">
        <v>8</v>
      </c>
      <c r="T835" s="4">
        <v>8</v>
      </c>
      <c r="U835" s="5" t="s">
        <v>9182</v>
      </c>
      <c r="V835" s="5" t="s">
        <v>9182</v>
      </c>
      <c r="W835" s="5" t="s">
        <v>9183</v>
      </c>
      <c r="X835" s="5" t="s">
        <v>9183</v>
      </c>
      <c r="Y835" s="4">
        <v>996</v>
      </c>
      <c r="Z835" s="4">
        <v>970</v>
      </c>
      <c r="AA835" s="4">
        <v>1287</v>
      </c>
      <c r="AB835" s="4">
        <v>5</v>
      </c>
      <c r="AC835" s="4">
        <v>10</v>
      </c>
      <c r="AD835" s="4">
        <v>19</v>
      </c>
      <c r="AE835" s="4">
        <v>27</v>
      </c>
      <c r="AF835" s="4">
        <v>8</v>
      </c>
      <c r="AG835" s="4">
        <v>11</v>
      </c>
      <c r="AH835" s="4">
        <v>3</v>
      </c>
      <c r="AI835" s="4">
        <v>3</v>
      </c>
      <c r="AJ835" s="4">
        <v>11</v>
      </c>
      <c r="AK835" s="4">
        <v>15</v>
      </c>
      <c r="AL835" s="4">
        <v>2</v>
      </c>
      <c r="AM835" s="4">
        <v>4</v>
      </c>
      <c r="AN835" s="4">
        <v>0</v>
      </c>
      <c r="AO835" s="4">
        <v>0</v>
      </c>
      <c r="AP835" s="3" t="s">
        <v>61</v>
      </c>
      <c r="AQ835" s="3" t="s">
        <v>61</v>
      </c>
      <c r="AS835" s="6" t="str">
        <f>HYPERLINK("https://creighton-primo.hosted.exlibrisgroup.com/primo-explore/search?tab=default_tab&amp;search_scope=EVERYTHING&amp;vid=01CRU&amp;lang=en_US&amp;offset=0&amp;query=any,contains,991004452919702656","Catalog Record")</f>
        <v>Catalog Record</v>
      </c>
      <c r="AT835" s="6" t="str">
        <f>HYPERLINK("http://www.worldcat.org/oclc/3516554","WorldCat Record")</f>
        <v>WorldCat Record</v>
      </c>
      <c r="AU835" s="3" t="s">
        <v>9184</v>
      </c>
      <c r="AV835" s="3" t="s">
        <v>9185</v>
      </c>
      <c r="AW835" s="3" t="s">
        <v>9186</v>
      </c>
      <c r="AX835" s="3" t="s">
        <v>9186</v>
      </c>
      <c r="AY835" s="3" t="s">
        <v>9187</v>
      </c>
      <c r="AZ835" s="3" t="s">
        <v>75</v>
      </c>
      <c r="BB835" s="3" t="s">
        <v>9188</v>
      </c>
      <c r="BC835" s="3" t="s">
        <v>9189</v>
      </c>
      <c r="BD835" s="3" t="s">
        <v>9190</v>
      </c>
    </row>
    <row r="836" spans="1:56" ht="44.25" customHeight="1" x14ac:dyDescent="0.25">
      <c r="A836" s="7" t="s">
        <v>61</v>
      </c>
      <c r="B836" s="2" t="s">
        <v>9191</v>
      </c>
      <c r="C836" s="2" t="s">
        <v>9192</v>
      </c>
      <c r="D836" s="2" t="s">
        <v>9193</v>
      </c>
      <c r="F836" s="3" t="s">
        <v>61</v>
      </c>
      <c r="G836" s="3" t="s">
        <v>60</v>
      </c>
      <c r="H836" s="3" t="s">
        <v>61</v>
      </c>
      <c r="I836" s="3" t="s">
        <v>61</v>
      </c>
      <c r="J836" s="3" t="s">
        <v>62</v>
      </c>
      <c r="K836" s="2" t="s">
        <v>9194</v>
      </c>
      <c r="L836" s="2" t="s">
        <v>9195</v>
      </c>
      <c r="M836" s="3" t="s">
        <v>436</v>
      </c>
      <c r="O836" s="3" t="s">
        <v>114</v>
      </c>
      <c r="P836" s="3" t="s">
        <v>235</v>
      </c>
      <c r="R836" s="3" t="s">
        <v>68</v>
      </c>
      <c r="S836" s="4">
        <v>3</v>
      </c>
      <c r="T836" s="4">
        <v>3</v>
      </c>
      <c r="U836" s="5" t="s">
        <v>2045</v>
      </c>
      <c r="V836" s="5" t="s">
        <v>2045</v>
      </c>
      <c r="W836" s="5" t="s">
        <v>2046</v>
      </c>
      <c r="X836" s="5" t="s">
        <v>2046</v>
      </c>
      <c r="Y836" s="4">
        <v>137</v>
      </c>
      <c r="Z836" s="4">
        <v>127</v>
      </c>
      <c r="AA836" s="4">
        <v>1302</v>
      </c>
      <c r="AB836" s="4">
        <v>2</v>
      </c>
      <c r="AC836" s="4">
        <v>9</v>
      </c>
      <c r="AD836" s="4">
        <v>1</v>
      </c>
      <c r="AE836" s="4">
        <v>34</v>
      </c>
      <c r="AF836" s="4">
        <v>0</v>
      </c>
      <c r="AG836" s="4">
        <v>14</v>
      </c>
      <c r="AH836" s="4">
        <v>0</v>
      </c>
      <c r="AI836" s="4">
        <v>9</v>
      </c>
      <c r="AJ836" s="4">
        <v>0</v>
      </c>
      <c r="AK836" s="4">
        <v>15</v>
      </c>
      <c r="AL836" s="4">
        <v>1</v>
      </c>
      <c r="AM836" s="4">
        <v>5</v>
      </c>
      <c r="AN836" s="4">
        <v>0</v>
      </c>
      <c r="AO836" s="4">
        <v>0</v>
      </c>
      <c r="AP836" s="3" t="s">
        <v>61</v>
      </c>
      <c r="AQ836" s="3" t="s">
        <v>61</v>
      </c>
      <c r="AS836" s="6" t="str">
        <f>HYPERLINK("https://creighton-primo.hosted.exlibrisgroup.com/primo-explore/search?tab=default_tab&amp;search_scope=EVERYTHING&amp;vid=01CRU&amp;lang=en_US&amp;offset=0&amp;query=any,contains,991003583279702656","Catalog Record")</f>
        <v>Catalog Record</v>
      </c>
      <c r="AT836" s="6" t="str">
        <f>HYPERLINK("http://www.worldcat.org/oclc/22607039","WorldCat Record")</f>
        <v>WorldCat Record</v>
      </c>
      <c r="AU836" s="3" t="s">
        <v>9196</v>
      </c>
      <c r="AV836" s="3" t="s">
        <v>9197</v>
      </c>
      <c r="AW836" s="3" t="s">
        <v>9198</v>
      </c>
      <c r="AX836" s="3" t="s">
        <v>9198</v>
      </c>
      <c r="AY836" s="3" t="s">
        <v>9199</v>
      </c>
      <c r="AZ836" s="3" t="s">
        <v>75</v>
      </c>
      <c r="BB836" s="3" t="s">
        <v>9200</v>
      </c>
      <c r="BC836" s="3" t="s">
        <v>9201</v>
      </c>
      <c r="BD836" s="3" t="s">
        <v>9202</v>
      </c>
    </row>
    <row r="837" spans="1:56" ht="44.25" customHeight="1" x14ac:dyDescent="0.25">
      <c r="A837" s="7" t="s">
        <v>61</v>
      </c>
      <c r="B837" s="2" t="s">
        <v>9203</v>
      </c>
      <c r="C837" s="2" t="s">
        <v>9204</v>
      </c>
      <c r="D837" s="2" t="s">
        <v>9205</v>
      </c>
      <c r="F837" s="3" t="s">
        <v>61</v>
      </c>
      <c r="G837" s="3" t="s">
        <v>60</v>
      </c>
      <c r="H837" s="3" t="s">
        <v>61</v>
      </c>
      <c r="I837" s="3" t="s">
        <v>61</v>
      </c>
      <c r="J837" s="3" t="s">
        <v>62</v>
      </c>
      <c r="K837" s="2" t="s">
        <v>9206</v>
      </c>
      <c r="L837" s="2" t="s">
        <v>9207</v>
      </c>
      <c r="M837" s="3" t="s">
        <v>2281</v>
      </c>
      <c r="O837" s="3" t="s">
        <v>114</v>
      </c>
      <c r="P837" s="3" t="s">
        <v>2968</v>
      </c>
      <c r="Q837" s="2" t="s">
        <v>7696</v>
      </c>
      <c r="R837" s="3" t="s">
        <v>68</v>
      </c>
      <c r="S837" s="4">
        <v>2</v>
      </c>
      <c r="T837" s="4">
        <v>2</v>
      </c>
      <c r="U837" s="5" t="s">
        <v>9208</v>
      </c>
      <c r="V837" s="5" t="s">
        <v>9208</v>
      </c>
      <c r="W837" s="5" t="s">
        <v>9208</v>
      </c>
      <c r="X837" s="5" t="s">
        <v>9208</v>
      </c>
      <c r="Y837" s="4">
        <v>2447</v>
      </c>
      <c r="Z837" s="4">
        <v>2282</v>
      </c>
      <c r="AA837" s="4">
        <v>2564</v>
      </c>
      <c r="AB837" s="4">
        <v>15</v>
      </c>
      <c r="AC837" s="4">
        <v>19</v>
      </c>
      <c r="AD837" s="4">
        <v>24</v>
      </c>
      <c r="AE837" s="4">
        <v>30</v>
      </c>
      <c r="AF837" s="4">
        <v>9</v>
      </c>
      <c r="AG837" s="4">
        <v>12</v>
      </c>
      <c r="AH837" s="4">
        <v>5</v>
      </c>
      <c r="AI837" s="4">
        <v>5</v>
      </c>
      <c r="AJ837" s="4">
        <v>13</v>
      </c>
      <c r="AK837" s="4">
        <v>14</v>
      </c>
      <c r="AL837" s="4">
        <v>3</v>
      </c>
      <c r="AM837" s="4">
        <v>5</v>
      </c>
      <c r="AN837" s="4">
        <v>0</v>
      </c>
      <c r="AO837" s="4">
        <v>0</v>
      </c>
      <c r="AP837" s="3" t="s">
        <v>61</v>
      </c>
      <c r="AQ837" s="3" t="s">
        <v>61</v>
      </c>
      <c r="AS837" s="6" t="str">
        <f>HYPERLINK("https://creighton-primo.hosted.exlibrisgroup.com/primo-explore/search?tab=default_tab&amp;search_scope=EVERYTHING&amp;vid=01CRU&amp;lang=en_US&amp;offset=0&amp;query=any,contains,991004439279702656","Catalog Record")</f>
        <v>Catalog Record</v>
      </c>
      <c r="AT837" s="6" t="str">
        <f>HYPERLINK("http://www.worldcat.org/oclc/2804768","WorldCat Record")</f>
        <v>WorldCat Record</v>
      </c>
      <c r="AU837" s="3" t="s">
        <v>9209</v>
      </c>
      <c r="AV837" s="3" t="s">
        <v>9210</v>
      </c>
      <c r="AW837" s="3" t="s">
        <v>9211</v>
      </c>
      <c r="AX837" s="3" t="s">
        <v>9211</v>
      </c>
      <c r="AY837" s="3" t="s">
        <v>9212</v>
      </c>
      <c r="AZ837" s="3" t="s">
        <v>75</v>
      </c>
      <c r="BC837" s="3" t="s">
        <v>9213</v>
      </c>
      <c r="BD837" s="3" t="s">
        <v>9214</v>
      </c>
    </row>
    <row r="838" spans="1:56" ht="44.25" customHeight="1" x14ac:dyDescent="0.25">
      <c r="A838" s="7" t="s">
        <v>61</v>
      </c>
      <c r="B838" s="2" t="s">
        <v>9215</v>
      </c>
      <c r="C838" s="2" t="s">
        <v>9216</v>
      </c>
      <c r="D838" s="2" t="s">
        <v>9217</v>
      </c>
      <c r="F838" s="3" t="s">
        <v>61</v>
      </c>
      <c r="G838" s="3" t="s">
        <v>60</v>
      </c>
      <c r="H838" s="3" t="s">
        <v>61</v>
      </c>
      <c r="I838" s="3" t="s">
        <v>61</v>
      </c>
      <c r="J838" s="3" t="s">
        <v>62</v>
      </c>
      <c r="K838" s="2" t="s">
        <v>9218</v>
      </c>
      <c r="L838" s="2" t="s">
        <v>9219</v>
      </c>
      <c r="M838" s="3" t="s">
        <v>7375</v>
      </c>
      <c r="N838" s="2" t="s">
        <v>4324</v>
      </c>
      <c r="O838" s="3" t="s">
        <v>114</v>
      </c>
      <c r="P838" s="3" t="s">
        <v>235</v>
      </c>
      <c r="R838" s="3" t="s">
        <v>68</v>
      </c>
      <c r="S838" s="4">
        <v>2</v>
      </c>
      <c r="T838" s="4">
        <v>2</v>
      </c>
      <c r="U838" s="5" t="s">
        <v>9220</v>
      </c>
      <c r="V838" s="5" t="s">
        <v>9220</v>
      </c>
      <c r="W838" s="5" t="s">
        <v>8668</v>
      </c>
      <c r="X838" s="5" t="s">
        <v>8668</v>
      </c>
      <c r="Y838" s="4">
        <v>248</v>
      </c>
      <c r="Z838" s="4">
        <v>241</v>
      </c>
      <c r="AA838" s="4">
        <v>313</v>
      </c>
      <c r="AB838" s="4">
        <v>2</v>
      </c>
      <c r="AC838" s="4">
        <v>2</v>
      </c>
      <c r="AD838" s="4">
        <v>5</v>
      </c>
      <c r="AE838" s="4">
        <v>9</v>
      </c>
      <c r="AF838" s="4">
        <v>2</v>
      </c>
      <c r="AG838" s="4">
        <v>3</v>
      </c>
      <c r="AH838" s="4">
        <v>0</v>
      </c>
      <c r="AI838" s="4">
        <v>2</v>
      </c>
      <c r="AJ838" s="4">
        <v>3</v>
      </c>
      <c r="AK838" s="4">
        <v>6</v>
      </c>
      <c r="AL838" s="4">
        <v>1</v>
      </c>
      <c r="AM838" s="4">
        <v>1</v>
      </c>
      <c r="AN838" s="4">
        <v>0</v>
      </c>
      <c r="AO838" s="4">
        <v>0</v>
      </c>
      <c r="AP838" s="3" t="s">
        <v>59</v>
      </c>
      <c r="AQ838" s="3" t="s">
        <v>61</v>
      </c>
      <c r="AR838" s="6" t="str">
        <f>HYPERLINK("http://catalog.hathitrust.org/Record/000490550","HathiTrust Record")</f>
        <v>HathiTrust Record</v>
      </c>
      <c r="AS838" s="6" t="str">
        <f>HYPERLINK("https://creighton-primo.hosted.exlibrisgroup.com/primo-explore/search?tab=default_tab&amp;search_scope=EVERYTHING&amp;vid=01CRU&amp;lang=en_US&amp;offset=0&amp;query=any,contains,991005051649702656","Catalog Record")</f>
        <v>Catalog Record</v>
      </c>
      <c r="AT838" s="6" t="str">
        <f>HYPERLINK("http://www.worldcat.org/oclc/497164","WorldCat Record")</f>
        <v>WorldCat Record</v>
      </c>
      <c r="AU838" s="3" t="s">
        <v>9221</v>
      </c>
      <c r="AV838" s="3" t="s">
        <v>9222</v>
      </c>
      <c r="AW838" s="3" t="s">
        <v>9223</v>
      </c>
      <c r="AX838" s="3" t="s">
        <v>9223</v>
      </c>
      <c r="AY838" s="3" t="s">
        <v>9224</v>
      </c>
      <c r="AZ838" s="3" t="s">
        <v>75</v>
      </c>
      <c r="BC838" s="3" t="s">
        <v>9225</v>
      </c>
      <c r="BD838" s="3" t="s">
        <v>9226</v>
      </c>
    </row>
    <row r="839" spans="1:56" ht="44.25" customHeight="1" x14ac:dyDescent="0.25">
      <c r="A839" s="7" t="s">
        <v>61</v>
      </c>
      <c r="B839" s="2" t="s">
        <v>9227</v>
      </c>
      <c r="C839" s="2" t="s">
        <v>9228</v>
      </c>
      <c r="D839" s="2" t="s">
        <v>9229</v>
      </c>
      <c r="F839" s="3" t="s">
        <v>61</v>
      </c>
      <c r="G839" s="3" t="s">
        <v>60</v>
      </c>
      <c r="H839" s="3" t="s">
        <v>61</v>
      </c>
      <c r="I839" s="3" t="s">
        <v>61</v>
      </c>
      <c r="J839" s="3" t="s">
        <v>62</v>
      </c>
      <c r="L839" s="2" t="s">
        <v>9230</v>
      </c>
      <c r="M839" s="3" t="s">
        <v>379</v>
      </c>
      <c r="O839" s="3" t="s">
        <v>114</v>
      </c>
      <c r="P839" s="3" t="s">
        <v>192</v>
      </c>
      <c r="Q839" s="2" t="s">
        <v>9231</v>
      </c>
      <c r="R839" s="3" t="s">
        <v>68</v>
      </c>
      <c r="S839" s="4">
        <v>4</v>
      </c>
      <c r="T839" s="4">
        <v>4</v>
      </c>
      <c r="U839" s="5" t="s">
        <v>9182</v>
      </c>
      <c r="V839" s="5" t="s">
        <v>9182</v>
      </c>
      <c r="W839" s="5" t="s">
        <v>9232</v>
      </c>
      <c r="X839" s="5" t="s">
        <v>9232</v>
      </c>
      <c r="Y839" s="4">
        <v>199</v>
      </c>
      <c r="Z839" s="4">
        <v>142</v>
      </c>
      <c r="AA839" s="4">
        <v>166</v>
      </c>
      <c r="AB839" s="4">
        <v>1</v>
      </c>
      <c r="AC839" s="4">
        <v>1</v>
      </c>
      <c r="AD839" s="4">
        <v>4</v>
      </c>
      <c r="AE839" s="4">
        <v>4</v>
      </c>
      <c r="AF839" s="4">
        <v>1</v>
      </c>
      <c r="AG839" s="4">
        <v>1</v>
      </c>
      <c r="AH839" s="4">
        <v>2</v>
      </c>
      <c r="AI839" s="4">
        <v>2</v>
      </c>
      <c r="AJ839" s="4">
        <v>2</v>
      </c>
      <c r="AK839" s="4">
        <v>2</v>
      </c>
      <c r="AL839" s="4">
        <v>0</v>
      </c>
      <c r="AM839" s="4">
        <v>0</v>
      </c>
      <c r="AN839" s="4">
        <v>0</v>
      </c>
      <c r="AO839" s="4">
        <v>0</v>
      </c>
      <c r="AP839" s="3" t="s">
        <v>61</v>
      </c>
      <c r="AQ839" s="3" t="s">
        <v>61</v>
      </c>
      <c r="AS839" s="6" t="str">
        <f>HYPERLINK("https://creighton-primo.hosted.exlibrisgroup.com/primo-explore/search?tab=default_tab&amp;search_scope=EVERYTHING&amp;vid=01CRU&amp;lang=en_US&amp;offset=0&amp;query=any,contains,991003967129702656","Catalog Record")</f>
        <v>Catalog Record</v>
      </c>
      <c r="AT839" s="6" t="str">
        <f>HYPERLINK("http://www.worldcat.org/oclc/44046727","WorldCat Record")</f>
        <v>WorldCat Record</v>
      </c>
      <c r="AU839" s="3" t="s">
        <v>9233</v>
      </c>
      <c r="AV839" s="3" t="s">
        <v>9234</v>
      </c>
      <c r="AW839" s="3" t="s">
        <v>9235</v>
      </c>
      <c r="AX839" s="3" t="s">
        <v>9235</v>
      </c>
      <c r="AY839" s="3" t="s">
        <v>9236</v>
      </c>
      <c r="AZ839" s="3" t="s">
        <v>75</v>
      </c>
      <c r="BB839" s="3" t="s">
        <v>9237</v>
      </c>
      <c r="BC839" s="3" t="s">
        <v>9238</v>
      </c>
      <c r="BD839" s="3" t="s">
        <v>9239</v>
      </c>
    </row>
    <row r="840" spans="1:56" ht="44.25" customHeight="1" x14ac:dyDescent="0.25">
      <c r="A840" s="7" t="s">
        <v>61</v>
      </c>
      <c r="B840" s="2" t="s">
        <v>9240</v>
      </c>
      <c r="C840" s="2" t="s">
        <v>9241</v>
      </c>
      <c r="D840" s="2" t="s">
        <v>9242</v>
      </c>
      <c r="F840" s="3" t="s">
        <v>61</v>
      </c>
      <c r="G840" s="3" t="s">
        <v>60</v>
      </c>
      <c r="H840" s="3" t="s">
        <v>61</v>
      </c>
      <c r="I840" s="3" t="s">
        <v>61</v>
      </c>
      <c r="J840" s="3" t="s">
        <v>62</v>
      </c>
      <c r="K840" s="2" t="s">
        <v>9243</v>
      </c>
      <c r="L840" s="2" t="s">
        <v>9244</v>
      </c>
      <c r="M840" s="3" t="s">
        <v>3365</v>
      </c>
      <c r="O840" s="3" t="s">
        <v>114</v>
      </c>
      <c r="P840" s="3" t="s">
        <v>235</v>
      </c>
      <c r="R840" s="3" t="s">
        <v>68</v>
      </c>
      <c r="S840" s="4">
        <v>8</v>
      </c>
      <c r="T840" s="4">
        <v>8</v>
      </c>
      <c r="U840" s="5" t="s">
        <v>9245</v>
      </c>
      <c r="V840" s="5" t="s">
        <v>9245</v>
      </c>
      <c r="W840" s="5" t="s">
        <v>8774</v>
      </c>
      <c r="X840" s="5" t="s">
        <v>8774</v>
      </c>
      <c r="Y840" s="4">
        <v>379</v>
      </c>
      <c r="Z840" s="4">
        <v>343</v>
      </c>
      <c r="AA840" s="4">
        <v>446</v>
      </c>
      <c r="AB840" s="4">
        <v>4</v>
      </c>
      <c r="AC840" s="4">
        <v>4</v>
      </c>
      <c r="AD840" s="4">
        <v>13</v>
      </c>
      <c r="AE840" s="4">
        <v>18</v>
      </c>
      <c r="AF840" s="4">
        <v>6</v>
      </c>
      <c r="AG840" s="4">
        <v>9</v>
      </c>
      <c r="AH840" s="4">
        <v>5</v>
      </c>
      <c r="AI840" s="4">
        <v>6</v>
      </c>
      <c r="AJ840" s="4">
        <v>3</v>
      </c>
      <c r="AK840" s="4">
        <v>7</v>
      </c>
      <c r="AL840" s="4">
        <v>2</v>
      </c>
      <c r="AM840" s="4">
        <v>2</v>
      </c>
      <c r="AN840" s="4">
        <v>0</v>
      </c>
      <c r="AO840" s="4">
        <v>0</v>
      </c>
      <c r="AP840" s="3" t="s">
        <v>61</v>
      </c>
      <c r="AQ840" s="3" t="s">
        <v>59</v>
      </c>
      <c r="AR840" s="6" t="str">
        <f>HYPERLINK("http://catalog.hathitrust.org/Record/000492771","HathiTrust Record")</f>
        <v>HathiTrust Record</v>
      </c>
      <c r="AS840" s="6" t="str">
        <f>HYPERLINK("https://creighton-primo.hosted.exlibrisgroup.com/primo-explore/search?tab=default_tab&amp;search_scope=EVERYTHING&amp;vid=01CRU&amp;lang=en_US&amp;offset=0&amp;query=any,contains,991003795479702656","Catalog Record")</f>
        <v>Catalog Record</v>
      </c>
      <c r="AT840" s="6" t="str">
        <f>HYPERLINK("http://www.worldcat.org/oclc/1516681","WorldCat Record")</f>
        <v>WorldCat Record</v>
      </c>
      <c r="AU840" s="3" t="s">
        <v>9246</v>
      </c>
      <c r="AV840" s="3" t="s">
        <v>9247</v>
      </c>
      <c r="AW840" s="3" t="s">
        <v>9248</v>
      </c>
      <c r="AX840" s="3" t="s">
        <v>9248</v>
      </c>
      <c r="AY840" s="3" t="s">
        <v>9249</v>
      </c>
      <c r="AZ840" s="3" t="s">
        <v>75</v>
      </c>
      <c r="BC840" s="3" t="s">
        <v>9250</v>
      </c>
      <c r="BD840" s="3" t="s">
        <v>9251</v>
      </c>
    </row>
    <row r="841" spans="1:56" ht="44.25" customHeight="1" x14ac:dyDescent="0.25">
      <c r="A841" s="7" t="s">
        <v>61</v>
      </c>
      <c r="B841" s="2" t="s">
        <v>9252</v>
      </c>
      <c r="C841" s="2" t="s">
        <v>9253</v>
      </c>
      <c r="D841" s="2" t="s">
        <v>9254</v>
      </c>
      <c r="F841" s="3" t="s">
        <v>61</v>
      </c>
      <c r="G841" s="3" t="s">
        <v>60</v>
      </c>
      <c r="H841" s="3" t="s">
        <v>61</v>
      </c>
      <c r="I841" s="3" t="s">
        <v>61</v>
      </c>
      <c r="J841" s="3" t="s">
        <v>62</v>
      </c>
      <c r="K841" s="2" t="s">
        <v>9255</v>
      </c>
      <c r="L841" s="2" t="s">
        <v>9256</v>
      </c>
      <c r="M841" s="3" t="s">
        <v>466</v>
      </c>
      <c r="O841" s="3" t="s">
        <v>114</v>
      </c>
      <c r="P841" s="3" t="s">
        <v>235</v>
      </c>
      <c r="R841" s="3" t="s">
        <v>68</v>
      </c>
      <c r="S841" s="4">
        <v>2</v>
      </c>
      <c r="T841" s="4">
        <v>2</v>
      </c>
      <c r="U841" s="5" t="s">
        <v>9220</v>
      </c>
      <c r="V841" s="5" t="s">
        <v>9220</v>
      </c>
      <c r="W841" s="5" t="s">
        <v>8774</v>
      </c>
      <c r="X841" s="5" t="s">
        <v>8774</v>
      </c>
      <c r="Y841" s="4">
        <v>300</v>
      </c>
      <c r="Z841" s="4">
        <v>275</v>
      </c>
      <c r="AA841" s="4">
        <v>291</v>
      </c>
      <c r="AB841" s="4">
        <v>1</v>
      </c>
      <c r="AC841" s="4">
        <v>1</v>
      </c>
      <c r="AD841" s="4">
        <v>10</v>
      </c>
      <c r="AE841" s="4">
        <v>10</v>
      </c>
      <c r="AF841" s="4">
        <v>5</v>
      </c>
      <c r="AG841" s="4">
        <v>5</v>
      </c>
      <c r="AH841" s="4">
        <v>2</v>
      </c>
      <c r="AI841" s="4">
        <v>2</v>
      </c>
      <c r="AJ841" s="4">
        <v>5</v>
      </c>
      <c r="AK841" s="4">
        <v>5</v>
      </c>
      <c r="AL841" s="4">
        <v>0</v>
      </c>
      <c r="AM841" s="4">
        <v>0</v>
      </c>
      <c r="AN841" s="4">
        <v>0</v>
      </c>
      <c r="AO841" s="4">
        <v>0</v>
      </c>
      <c r="AP841" s="3" t="s">
        <v>61</v>
      </c>
      <c r="AQ841" s="3" t="s">
        <v>59</v>
      </c>
      <c r="AR841" s="6" t="str">
        <f>HYPERLINK("http://catalog.hathitrust.org/Record/000136544","HathiTrust Record")</f>
        <v>HathiTrust Record</v>
      </c>
      <c r="AS841" s="6" t="str">
        <f>HYPERLINK("https://creighton-primo.hosted.exlibrisgroup.com/primo-explore/search?tab=default_tab&amp;search_scope=EVERYTHING&amp;vid=01CRU&amp;lang=en_US&amp;offset=0&amp;query=any,contains,991004535519702656","Catalog Record")</f>
        <v>Catalog Record</v>
      </c>
      <c r="AT841" s="6" t="str">
        <f>HYPERLINK("http://www.worldcat.org/oclc/3869439","WorldCat Record")</f>
        <v>WorldCat Record</v>
      </c>
      <c r="AU841" s="3" t="s">
        <v>9257</v>
      </c>
      <c r="AV841" s="3" t="s">
        <v>9258</v>
      </c>
      <c r="AW841" s="3" t="s">
        <v>9259</v>
      </c>
      <c r="AX841" s="3" t="s">
        <v>9259</v>
      </c>
      <c r="AY841" s="3" t="s">
        <v>9260</v>
      </c>
      <c r="AZ841" s="3" t="s">
        <v>75</v>
      </c>
      <c r="BB841" s="3" t="s">
        <v>9261</v>
      </c>
      <c r="BC841" s="3" t="s">
        <v>9262</v>
      </c>
      <c r="BD841" s="3" t="s">
        <v>9263</v>
      </c>
    </row>
    <row r="842" spans="1:56" ht="44.25" customHeight="1" x14ac:dyDescent="0.25">
      <c r="A842" s="7" t="s">
        <v>61</v>
      </c>
      <c r="B842" s="2" t="s">
        <v>9264</v>
      </c>
      <c r="C842" s="2" t="s">
        <v>9265</v>
      </c>
      <c r="D842" s="2" t="s">
        <v>9266</v>
      </c>
      <c r="F842" s="3" t="s">
        <v>61</v>
      </c>
      <c r="G842" s="3" t="s">
        <v>60</v>
      </c>
      <c r="H842" s="3" t="s">
        <v>61</v>
      </c>
      <c r="I842" s="3" t="s">
        <v>61</v>
      </c>
      <c r="J842" s="3" t="s">
        <v>62</v>
      </c>
      <c r="K842" s="2" t="s">
        <v>7483</v>
      </c>
      <c r="L842" s="2" t="s">
        <v>9267</v>
      </c>
      <c r="M842" s="3" t="s">
        <v>466</v>
      </c>
      <c r="O842" s="3" t="s">
        <v>114</v>
      </c>
      <c r="P842" s="3" t="s">
        <v>235</v>
      </c>
      <c r="R842" s="3" t="s">
        <v>68</v>
      </c>
      <c r="S842" s="4">
        <v>5</v>
      </c>
      <c r="T842" s="4">
        <v>5</v>
      </c>
      <c r="U842" s="5" t="s">
        <v>9268</v>
      </c>
      <c r="V842" s="5" t="s">
        <v>9268</v>
      </c>
      <c r="W842" s="5" t="s">
        <v>6880</v>
      </c>
      <c r="X842" s="5" t="s">
        <v>6880</v>
      </c>
      <c r="Y842" s="4">
        <v>327</v>
      </c>
      <c r="Z842" s="4">
        <v>303</v>
      </c>
      <c r="AA842" s="4">
        <v>305</v>
      </c>
      <c r="AB842" s="4">
        <v>2</v>
      </c>
      <c r="AC842" s="4">
        <v>2</v>
      </c>
      <c r="AD842" s="4">
        <v>10</v>
      </c>
      <c r="AE842" s="4">
        <v>10</v>
      </c>
      <c r="AF842" s="4">
        <v>5</v>
      </c>
      <c r="AG842" s="4">
        <v>5</v>
      </c>
      <c r="AH842" s="4">
        <v>1</v>
      </c>
      <c r="AI842" s="4">
        <v>1</v>
      </c>
      <c r="AJ842" s="4">
        <v>5</v>
      </c>
      <c r="AK842" s="4">
        <v>5</v>
      </c>
      <c r="AL842" s="4">
        <v>1</v>
      </c>
      <c r="AM842" s="4">
        <v>1</v>
      </c>
      <c r="AN842" s="4">
        <v>0</v>
      </c>
      <c r="AO842" s="4">
        <v>0</v>
      </c>
      <c r="AP842" s="3" t="s">
        <v>61</v>
      </c>
      <c r="AQ842" s="3" t="s">
        <v>59</v>
      </c>
      <c r="AR842" s="6" t="str">
        <f>HYPERLINK("http://catalog.hathitrust.org/Record/000175390","HathiTrust Record")</f>
        <v>HathiTrust Record</v>
      </c>
      <c r="AS842" s="6" t="str">
        <f>HYPERLINK("https://creighton-primo.hosted.exlibrisgroup.com/primo-explore/search?tab=default_tab&amp;search_scope=EVERYTHING&amp;vid=01CRU&amp;lang=en_US&amp;offset=0&amp;query=any,contains,991004555209702656","Catalog Record")</f>
        <v>Catalog Record</v>
      </c>
      <c r="AT842" s="6" t="str">
        <f>HYPERLINK("http://www.worldcat.org/oclc/3965915","WorldCat Record")</f>
        <v>WorldCat Record</v>
      </c>
      <c r="AU842" s="3" t="s">
        <v>9269</v>
      </c>
      <c r="AV842" s="3" t="s">
        <v>9270</v>
      </c>
      <c r="AW842" s="3" t="s">
        <v>9271</v>
      </c>
      <c r="AX842" s="3" t="s">
        <v>9271</v>
      </c>
      <c r="AY842" s="3" t="s">
        <v>9272</v>
      </c>
      <c r="AZ842" s="3" t="s">
        <v>75</v>
      </c>
      <c r="BB842" s="3" t="s">
        <v>9273</v>
      </c>
      <c r="BC842" s="3" t="s">
        <v>9274</v>
      </c>
      <c r="BD842" s="3" t="s">
        <v>9275</v>
      </c>
    </row>
    <row r="843" spans="1:56" ht="44.25" customHeight="1" x14ac:dyDescent="0.25">
      <c r="A843" s="7" t="s">
        <v>61</v>
      </c>
      <c r="B843" s="2" t="s">
        <v>9276</v>
      </c>
      <c r="C843" s="2" t="s">
        <v>9277</v>
      </c>
      <c r="D843" s="2" t="s">
        <v>9278</v>
      </c>
      <c r="F843" s="3" t="s">
        <v>61</v>
      </c>
      <c r="G843" s="3" t="s">
        <v>60</v>
      </c>
      <c r="H843" s="3" t="s">
        <v>61</v>
      </c>
      <c r="I843" s="3" t="s">
        <v>61</v>
      </c>
      <c r="J843" s="3" t="s">
        <v>62</v>
      </c>
      <c r="K843" s="2" t="s">
        <v>9279</v>
      </c>
      <c r="L843" s="2" t="s">
        <v>9280</v>
      </c>
      <c r="M843" s="3" t="s">
        <v>536</v>
      </c>
      <c r="O843" s="3" t="s">
        <v>114</v>
      </c>
      <c r="P843" s="3" t="s">
        <v>1494</v>
      </c>
      <c r="R843" s="3" t="s">
        <v>68</v>
      </c>
      <c r="S843" s="4">
        <v>6</v>
      </c>
      <c r="T843" s="4">
        <v>6</v>
      </c>
      <c r="U843" s="5" t="s">
        <v>2739</v>
      </c>
      <c r="V843" s="5" t="s">
        <v>2739</v>
      </c>
      <c r="W843" s="5" t="s">
        <v>539</v>
      </c>
      <c r="X843" s="5" t="s">
        <v>539</v>
      </c>
      <c r="Y843" s="4">
        <v>144</v>
      </c>
      <c r="Z843" s="4">
        <v>135</v>
      </c>
      <c r="AA843" s="4">
        <v>140</v>
      </c>
      <c r="AB843" s="4">
        <v>3</v>
      </c>
      <c r="AC843" s="4">
        <v>3</v>
      </c>
      <c r="AD843" s="4">
        <v>8</v>
      </c>
      <c r="AE843" s="4">
        <v>8</v>
      </c>
      <c r="AF843" s="4">
        <v>1</v>
      </c>
      <c r="AG843" s="4">
        <v>1</v>
      </c>
      <c r="AH843" s="4">
        <v>1</v>
      </c>
      <c r="AI843" s="4">
        <v>1</v>
      </c>
      <c r="AJ843" s="4">
        <v>6</v>
      </c>
      <c r="AK843" s="4">
        <v>6</v>
      </c>
      <c r="AL843" s="4">
        <v>2</v>
      </c>
      <c r="AM843" s="4">
        <v>2</v>
      </c>
      <c r="AN843" s="4">
        <v>0</v>
      </c>
      <c r="AO843" s="4">
        <v>0</v>
      </c>
      <c r="AP843" s="3" t="s">
        <v>61</v>
      </c>
      <c r="AQ843" s="3" t="s">
        <v>61</v>
      </c>
      <c r="AS843" s="6" t="str">
        <f>HYPERLINK("https://creighton-primo.hosted.exlibrisgroup.com/primo-explore/search?tab=default_tab&amp;search_scope=EVERYTHING&amp;vid=01CRU&amp;lang=en_US&amp;offset=0&amp;query=any,contains,991002768309702656","Catalog Record")</f>
        <v>Catalog Record</v>
      </c>
      <c r="AT843" s="6" t="str">
        <f>HYPERLINK("http://www.worldcat.org/oclc/36327552","WorldCat Record")</f>
        <v>WorldCat Record</v>
      </c>
      <c r="AU843" s="3" t="s">
        <v>9281</v>
      </c>
      <c r="AV843" s="3" t="s">
        <v>9282</v>
      </c>
      <c r="AW843" s="3" t="s">
        <v>9283</v>
      </c>
      <c r="AX843" s="3" t="s">
        <v>9283</v>
      </c>
      <c r="AY843" s="3" t="s">
        <v>9284</v>
      </c>
      <c r="AZ843" s="3" t="s">
        <v>75</v>
      </c>
      <c r="BB843" s="3" t="s">
        <v>9285</v>
      </c>
      <c r="BC843" s="3" t="s">
        <v>9286</v>
      </c>
      <c r="BD843" s="3" t="s">
        <v>9287</v>
      </c>
    </row>
    <row r="844" spans="1:56" ht="44.25" customHeight="1" x14ac:dyDescent="0.25">
      <c r="A844" s="7" t="s">
        <v>61</v>
      </c>
      <c r="B844" s="2" t="s">
        <v>9288</v>
      </c>
      <c r="C844" s="2" t="s">
        <v>9289</v>
      </c>
      <c r="D844" s="2" t="s">
        <v>9290</v>
      </c>
      <c r="F844" s="3" t="s">
        <v>61</v>
      </c>
      <c r="G844" s="3" t="s">
        <v>60</v>
      </c>
      <c r="H844" s="3" t="s">
        <v>61</v>
      </c>
      <c r="I844" s="3" t="s">
        <v>61</v>
      </c>
      <c r="J844" s="3" t="s">
        <v>62</v>
      </c>
      <c r="K844" s="2" t="s">
        <v>9291</v>
      </c>
      <c r="L844" s="2" t="s">
        <v>9292</v>
      </c>
      <c r="M844" s="3" t="s">
        <v>1074</v>
      </c>
      <c r="O844" s="3" t="s">
        <v>114</v>
      </c>
      <c r="P844" s="3" t="s">
        <v>235</v>
      </c>
      <c r="R844" s="3" t="s">
        <v>68</v>
      </c>
      <c r="S844" s="4">
        <v>17</v>
      </c>
      <c r="T844" s="4">
        <v>17</v>
      </c>
      <c r="U844" s="5" t="s">
        <v>9293</v>
      </c>
      <c r="V844" s="5" t="s">
        <v>9293</v>
      </c>
      <c r="W844" s="5" t="s">
        <v>8774</v>
      </c>
      <c r="X844" s="5" t="s">
        <v>8774</v>
      </c>
      <c r="Y844" s="4">
        <v>1181</v>
      </c>
      <c r="Z844" s="4">
        <v>1132</v>
      </c>
      <c r="AA844" s="4">
        <v>1526</v>
      </c>
      <c r="AB844" s="4">
        <v>10</v>
      </c>
      <c r="AC844" s="4">
        <v>14</v>
      </c>
      <c r="AD844" s="4">
        <v>12</v>
      </c>
      <c r="AE844" s="4">
        <v>21</v>
      </c>
      <c r="AF844" s="4">
        <v>6</v>
      </c>
      <c r="AG844" s="4">
        <v>11</v>
      </c>
      <c r="AH844" s="4">
        <v>3</v>
      </c>
      <c r="AI844" s="4">
        <v>6</v>
      </c>
      <c r="AJ844" s="4">
        <v>7</v>
      </c>
      <c r="AK844" s="4">
        <v>10</v>
      </c>
      <c r="AL844" s="4">
        <v>2</v>
      </c>
      <c r="AM844" s="4">
        <v>2</v>
      </c>
      <c r="AN844" s="4">
        <v>0</v>
      </c>
      <c r="AO844" s="4">
        <v>0</v>
      </c>
      <c r="AP844" s="3" t="s">
        <v>61</v>
      </c>
      <c r="AQ844" s="3" t="s">
        <v>61</v>
      </c>
      <c r="AS844" s="6" t="str">
        <f>HYPERLINK("https://creighton-primo.hosted.exlibrisgroup.com/primo-explore/search?tab=default_tab&amp;search_scope=EVERYTHING&amp;vid=01CRU&amp;lang=en_US&amp;offset=0&amp;query=any,contains,991000525379702656","Catalog Record")</f>
        <v>Catalog Record</v>
      </c>
      <c r="AT844" s="6" t="str">
        <f>HYPERLINK("http://www.worldcat.org/oclc/11370135","WorldCat Record")</f>
        <v>WorldCat Record</v>
      </c>
      <c r="AU844" s="3" t="s">
        <v>9294</v>
      </c>
      <c r="AV844" s="3" t="s">
        <v>9295</v>
      </c>
      <c r="AW844" s="3" t="s">
        <v>9296</v>
      </c>
      <c r="AX844" s="3" t="s">
        <v>9296</v>
      </c>
      <c r="AY844" s="3" t="s">
        <v>9297</v>
      </c>
      <c r="AZ844" s="3" t="s">
        <v>75</v>
      </c>
      <c r="BB844" s="3" t="s">
        <v>9298</v>
      </c>
      <c r="BC844" s="3" t="s">
        <v>9299</v>
      </c>
      <c r="BD844" s="3" t="s">
        <v>9300</v>
      </c>
    </row>
    <row r="845" spans="1:56" ht="44.25" customHeight="1" x14ac:dyDescent="0.25">
      <c r="A845" s="7" t="s">
        <v>61</v>
      </c>
      <c r="B845" s="2" t="s">
        <v>9301</v>
      </c>
      <c r="C845" s="2" t="s">
        <v>9302</v>
      </c>
      <c r="D845" s="2" t="s">
        <v>9303</v>
      </c>
      <c r="F845" s="3" t="s">
        <v>61</v>
      </c>
      <c r="G845" s="3" t="s">
        <v>60</v>
      </c>
      <c r="H845" s="3" t="s">
        <v>61</v>
      </c>
      <c r="I845" s="3" t="s">
        <v>61</v>
      </c>
      <c r="J845" s="3" t="s">
        <v>62</v>
      </c>
      <c r="K845" s="2" t="s">
        <v>9304</v>
      </c>
      <c r="L845" s="2" t="s">
        <v>9305</v>
      </c>
      <c r="M845" s="3" t="s">
        <v>1758</v>
      </c>
      <c r="O845" s="3" t="s">
        <v>114</v>
      </c>
      <c r="P845" s="3" t="s">
        <v>192</v>
      </c>
      <c r="R845" s="3" t="s">
        <v>68</v>
      </c>
      <c r="S845" s="4">
        <v>14</v>
      </c>
      <c r="T845" s="4">
        <v>14</v>
      </c>
      <c r="U845" s="5" t="s">
        <v>481</v>
      </c>
      <c r="V845" s="5" t="s">
        <v>481</v>
      </c>
      <c r="W845" s="5" t="s">
        <v>7325</v>
      </c>
      <c r="X845" s="5" t="s">
        <v>7325</v>
      </c>
      <c r="Y845" s="4">
        <v>346</v>
      </c>
      <c r="Z845" s="4">
        <v>203</v>
      </c>
      <c r="AA845" s="4">
        <v>213</v>
      </c>
      <c r="AB845" s="4">
        <v>2</v>
      </c>
      <c r="AC845" s="4">
        <v>2</v>
      </c>
      <c r="AD845" s="4">
        <v>9</v>
      </c>
      <c r="AE845" s="4">
        <v>9</v>
      </c>
      <c r="AF845" s="4">
        <v>5</v>
      </c>
      <c r="AG845" s="4">
        <v>5</v>
      </c>
      <c r="AH845" s="4">
        <v>3</v>
      </c>
      <c r="AI845" s="4">
        <v>3</v>
      </c>
      <c r="AJ845" s="4">
        <v>5</v>
      </c>
      <c r="AK845" s="4">
        <v>5</v>
      </c>
      <c r="AL845" s="4">
        <v>1</v>
      </c>
      <c r="AM845" s="4">
        <v>1</v>
      </c>
      <c r="AN845" s="4">
        <v>0</v>
      </c>
      <c r="AO845" s="4">
        <v>0</v>
      </c>
      <c r="AP845" s="3" t="s">
        <v>61</v>
      </c>
      <c r="AQ845" s="3" t="s">
        <v>59</v>
      </c>
      <c r="AR845" s="6" t="str">
        <f>HYPERLINK("http://catalog.hathitrust.org/Record/000773818","HathiTrust Record")</f>
        <v>HathiTrust Record</v>
      </c>
      <c r="AS845" s="6" t="str">
        <f>HYPERLINK("https://creighton-primo.hosted.exlibrisgroup.com/primo-explore/search?tab=default_tab&amp;search_scope=EVERYTHING&amp;vid=01CRU&amp;lang=en_US&amp;offset=0&amp;query=any,contains,991005148199702656","Catalog Record")</f>
        <v>Catalog Record</v>
      </c>
      <c r="AT845" s="6" t="str">
        <f>HYPERLINK("http://www.worldcat.org/oclc/8728942","WorldCat Record")</f>
        <v>WorldCat Record</v>
      </c>
      <c r="AU845" s="3" t="s">
        <v>9306</v>
      </c>
      <c r="AV845" s="3" t="s">
        <v>9307</v>
      </c>
      <c r="AW845" s="3" t="s">
        <v>9308</v>
      </c>
      <c r="AX845" s="3" t="s">
        <v>9308</v>
      </c>
      <c r="AY845" s="3" t="s">
        <v>9309</v>
      </c>
      <c r="AZ845" s="3" t="s">
        <v>75</v>
      </c>
      <c r="BB845" s="3" t="s">
        <v>9310</v>
      </c>
      <c r="BC845" s="3" t="s">
        <v>9311</v>
      </c>
      <c r="BD845" s="3" t="s">
        <v>9312</v>
      </c>
    </row>
    <row r="846" spans="1:56" ht="44.25" customHeight="1" x14ac:dyDescent="0.25">
      <c r="A846" s="7" t="s">
        <v>61</v>
      </c>
      <c r="B846" s="2" t="s">
        <v>9313</v>
      </c>
      <c r="C846" s="2" t="s">
        <v>9314</v>
      </c>
      <c r="D846" s="2" t="s">
        <v>9315</v>
      </c>
      <c r="F846" s="3" t="s">
        <v>61</v>
      </c>
      <c r="G846" s="3" t="s">
        <v>60</v>
      </c>
      <c r="H846" s="3" t="s">
        <v>61</v>
      </c>
      <c r="I846" s="3" t="s">
        <v>61</v>
      </c>
      <c r="J846" s="3" t="s">
        <v>62</v>
      </c>
      <c r="K846" s="2" t="s">
        <v>9316</v>
      </c>
      <c r="L846" s="2" t="s">
        <v>9317</v>
      </c>
      <c r="M846" s="3" t="s">
        <v>466</v>
      </c>
      <c r="O846" s="3" t="s">
        <v>114</v>
      </c>
      <c r="P846" s="3" t="s">
        <v>2968</v>
      </c>
      <c r="Q846" s="2" t="s">
        <v>7696</v>
      </c>
      <c r="R846" s="3" t="s">
        <v>68</v>
      </c>
      <c r="S846" s="4">
        <v>3</v>
      </c>
      <c r="T846" s="4">
        <v>3</v>
      </c>
      <c r="U846" s="5" t="s">
        <v>9318</v>
      </c>
      <c r="V846" s="5" t="s">
        <v>9318</v>
      </c>
      <c r="W846" s="5" t="s">
        <v>7422</v>
      </c>
      <c r="X846" s="5" t="s">
        <v>7422</v>
      </c>
      <c r="Y846" s="4">
        <v>2135</v>
      </c>
      <c r="Z846" s="4">
        <v>2007</v>
      </c>
      <c r="AA846" s="4">
        <v>2138</v>
      </c>
      <c r="AB846" s="4">
        <v>17</v>
      </c>
      <c r="AC846" s="4">
        <v>20</v>
      </c>
      <c r="AD846" s="4">
        <v>26</v>
      </c>
      <c r="AE846" s="4">
        <v>29</v>
      </c>
      <c r="AF846" s="4">
        <v>9</v>
      </c>
      <c r="AG846" s="4">
        <v>11</v>
      </c>
      <c r="AH846" s="4">
        <v>5</v>
      </c>
      <c r="AI846" s="4">
        <v>5</v>
      </c>
      <c r="AJ846" s="4">
        <v>11</v>
      </c>
      <c r="AK846" s="4">
        <v>12</v>
      </c>
      <c r="AL846" s="4">
        <v>5</v>
      </c>
      <c r="AM846" s="4">
        <v>6</v>
      </c>
      <c r="AN846" s="4">
        <v>0</v>
      </c>
      <c r="AO846" s="4">
        <v>0</v>
      </c>
      <c r="AP846" s="3" t="s">
        <v>61</v>
      </c>
      <c r="AQ846" s="3" t="s">
        <v>61</v>
      </c>
      <c r="AS846" s="6" t="str">
        <f>HYPERLINK("https://creighton-primo.hosted.exlibrisgroup.com/primo-explore/search?tab=default_tab&amp;search_scope=EVERYTHING&amp;vid=01CRU&amp;lang=en_US&amp;offset=0&amp;query=any,contains,991004661519702656","Catalog Record")</f>
        <v>Catalog Record</v>
      </c>
      <c r="AT846" s="6" t="str">
        <f>HYPERLINK("http://www.worldcat.org/oclc/4497074","WorldCat Record")</f>
        <v>WorldCat Record</v>
      </c>
      <c r="AU846" s="3" t="s">
        <v>9319</v>
      </c>
      <c r="AV846" s="3" t="s">
        <v>9320</v>
      </c>
      <c r="AW846" s="3" t="s">
        <v>9321</v>
      </c>
      <c r="AX846" s="3" t="s">
        <v>9321</v>
      </c>
      <c r="AY846" s="3" t="s">
        <v>9322</v>
      </c>
      <c r="AZ846" s="3" t="s">
        <v>75</v>
      </c>
      <c r="BB846" s="3" t="s">
        <v>9323</v>
      </c>
      <c r="BC846" s="3" t="s">
        <v>9324</v>
      </c>
      <c r="BD846" s="3" t="s">
        <v>9325</v>
      </c>
    </row>
    <row r="847" spans="1:56" ht="44.25" customHeight="1" x14ac:dyDescent="0.25">
      <c r="A847" s="7" t="s">
        <v>61</v>
      </c>
      <c r="B847" s="2" t="s">
        <v>9326</v>
      </c>
      <c r="C847" s="2" t="s">
        <v>9327</v>
      </c>
      <c r="D847" s="2" t="s">
        <v>9328</v>
      </c>
      <c r="F847" s="3" t="s">
        <v>61</v>
      </c>
      <c r="G847" s="3" t="s">
        <v>60</v>
      </c>
      <c r="H847" s="3" t="s">
        <v>61</v>
      </c>
      <c r="I847" s="3" t="s">
        <v>61</v>
      </c>
      <c r="J847" s="3" t="s">
        <v>62</v>
      </c>
      <c r="K847" s="2" t="s">
        <v>9329</v>
      </c>
      <c r="L847" s="2" t="s">
        <v>9317</v>
      </c>
      <c r="M847" s="3" t="s">
        <v>466</v>
      </c>
      <c r="O847" s="3" t="s">
        <v>114</v>
      </c>
      <c r="P847" s="3" t="s">
        <v>2968</v>
      </c>
      <c r="Q847" s="2" t="s">
        <v>7696</v>
      </c>
      <c r="R847" s="3" t="s">
        <v>68</v>
      </c>
      <c r="S847" s="4">
        <v>8</v>
      </c>
      <c r="T847" s="4">
        <v>8</v>
      </c>
      <c r="U847" s="5" t="s">
        <v>8847</v>
      </c>
      <c r="V847" s="5" t="s">
        <v>8847</v>
      </c>
      <c r="W847" s="5" t="s">
        <v>8774</v>
      </c>
      <c r="X847" s="5" t="s">
        <v>8774</v>
      </c>
      <c r="Y847" s="4">
        <v>2177</v>
      </c>
      <c r="Z847" s="4">
        <v>2038</v>
      </c>
      <c r="AA847" s="4">
        <v>2273</v>
      </c>
      <c r="AB847" s="4">
        <v>17</v>
      </c>
      <c r="AC847" s="4">
        <v>20</v>
      </c>
      <c r="AD847" s="4">
        <v>23</v>
      </c>
      <c r="AE847" s="4">
        <v>27</v>
      </c>
      <c r="AF847" s="4">
        <v>7</v>
      </c>
      <c r="AG847" s="4">
        <v>10</v>
      </c>
      <c r="AH847" s="4">
        <v>5</v>
      </c>
      <c r="AI847" s="4">
        <v>5</v>
      </c>
      <c r="AJ847" s="4">
        <v>12</v>
      </c>
      <c r="AK847" s="4">
        <v>12</v>
      </c>
      <c r="AL847" s="4">
        <v>4</v>
      </c>
      <c r="AM847" s="4">
        <v>5</v>
      </c>
      <c r="AN847" s="4">
        <v>0</v>
      </c>
      <c r="AO847" s="4">
        <v>0</v>
      </c>
      <c r="AP847" s="3" t="s">
        <v>61</v>
      </c>
      <c r="AQ847" s="3" t="s">
        <v>61</v>
      </c>
      <c r="AS847" s="6" t="str">
        <f>HYPERLINK("https://creighton-primo.hosted.exlibrisgroup.com/primo-explore/search?tab=default_tab&amp;search_scope=EVERYTHING&amp;vid=01CRU&amp;lang=en_US&amp;offset=0&amp;query=any,contains,991004504279702656","Catalog Record")</f>
        <v>Catalog Record</v>
      </c>
      <c r="AT847" s="6" t="str">
        <f>HYPERLINK("http://www.worldcat.org/oclc/3730458","WorldCat Record")</f>
        <v>WorldCat Record</v>
      </c>
      <c r="AU847" s="3" t="s">
        <v>9330</v>
      </c>
      <c r="AV847" s="3" t="s">
        <v>9331</v>
      </c>
      <c r="AW847" s="3" t="s">
        <v>9332</v>
      </c>
      <c r="AX847" s="3" t="s">
        <v>9332</v>
      </c>
      <c r="AY847" s="3" t="s">
        <v>9333</v>
      </c>
      <c r="AZ847" s="3" t="s">
        <v>75</v>
      </c>
      <c r="BB847" s="3" t="s">
        <v>9334</v>
      </c>
      <c r="BC847" s="3" t="s">
        <v>9335</v>
      </c>
      <c r="BD847" s="3" t="s">
        <v>9336</v>
      </c>
    </row>
    <row r="848" spans="1:56" ht="44.25" customHeight="1" x14ac:dyDescent="0.25">
      <c r="A848" s="7" t="s">
        <v>61</v>
      </c>
      <c r="B848" s="2" t="s">
        <v>9337</v>
      </c>
      <c r="C848" s="2" t="s">
        <v>9338</v>
      </c>
      <c r="D848" s="2" t="s">
        <v>9339</v>
      </c>
      <c r="F848" s="3" t="s">
        <v>61</v>
      </c>
      <c r="G848" s="3" t="s">
        <v>60</v>
      </c>
      <c r="H848" s="3" t="s">
        <v>61</v>
      </c>
      <c r="I848" s="3" t="s">
        <v>61</v>
      </c>
      <c r="J848" s="3" t="s">
        <v>62</v>
      </c>
      <c r="K848" s="2" t="s">
        <v>9340</v>
      </c>
      <c r="L848" s="2" t="s">
        <v>9341</v>
      </c>
      <c r="M848" s="3" t="s">
        <v>9342</v>
      </c>
      <c r="N848" s="2" t="s">
        <v>634</v>
      </c>
      <c r="O848" s="3" t="s">
        <v>114</v>
      </c>
      <c r="P848" s="3" t="s">
        <v>235</v>
      </c>
      <c r="R848" s="3" t="s">
        <v>68</v>
      </c>
      <c r="S848" s="4">
        <v>4</v>
      </c>
      <c r="T848" s="4">
        <v>4</v>
      </c>
      <c r="U848" s="5" t="s">
        <v>9343</v>
      </c>
      <c r="V848" s="5" t="s">
        <v>9343</v>
      </c>
      <c r="W848" s="5" t="s">
        <v>9343</v>
      </c>
      <c r="X848" s="5" t="s">
        <v>9343</v>
      </c>
      <c r="Y848" s="4">
        <v>1199</v>
      </c>
      <c r="Z848" s="4">
        <v>1184</v>
      </c>
      <c r="AA848" s="4">
        <v>1323</v>
      </c>
      <c r="AB848" s="4">
        <v>13</v>
      </c>
      <c r="AC848" s="4">
        <v>14</v>
      </c>
      <c r="AD848" s="4">
        <v>16</v>
      </c>
      <c r="AE848" s="4">
        <v>16</v>
      </c>
      <c r="AF848" s="4">
        <v>6</v>
      </c>
      <c r="AG848" s="4">
        <v>6</v>
      </c>
      <c r="AH848" s="4">
        <v>3</v>
      </c>
      <c r="AI848" s="4">
        <v>3</v>
      </c>
      <c r="AJ848" s="4">
        <v>8</v>
      </c>
      <c r="AK848" s="4">
        <v>8</v>
      </c>
      <c r="AL848" s="4">
        <v>3</v>
      </c>
      <c r="AM848" s="4">
        <v>3</v>
      </c>
      <c r="AN848" s="4">
        <v>0</v>
      </c>
      <c r="AO848" s="4">
        <v>0</v>
      </c>
      <c r="AP848" s="3" t="s">
        <v>61</v>
      </c>
      <c r="AQ848" s="3" t="s">
        <v>61</v>
      </c>
      <c r="AS848" s="6" t="str">
        <f>HYPERLINK("https://creighton-primo.hosted.exlibrisgroup.com/primo-explore/search?tab=default_tab&amp;search_scope=EVERYTHING&amp;vid=01CRU&amp;lang=en_US&amp;offset=0&amp;query=any,contains,991004583559702656","Catalog Record")</f>
        <v>Catalog Record</v>
      </c>
      <c r="AT848" s="6" t="str">
        <f>HYPERLINK("http://www.worldcat.org/oclc/57652380","WorldCat Record")</f>
        <v>WorldCat Record</v>
      </c>
      <c r="AU848" s="3" t="s">
        <v>9344</v>
      </c>
      <c r="AV848" s="3" t="s">
        <v>9345</v>
      </c>
      <c r="AW848" s="3" t="s">
        <v>9346</v>
      </c>
      <c r="AX848" s="3" t="s">
        <v>9346</v>
      </c>
      <c r="AY848" s="3" t="s">
        <v>9347</v>
      </c>
      <c r="AZ848" s="3" t="s">
        <v>75</v>
      </c>
      <c r="BB848" s="3" t="s">
        <v>9348</v>
      </c>
      <c r="BC848" s="3" t="s">
        <v>9349</v>
      </c>
      <c r="BD848" s="3" t="s">
        <v>9350</v>
      </c>
    </row>
    <row r="849" spans="1:56" ht="44.25" customHeight="1" x14ac:dyDescent="0.25">
      <c r="A849" s="7" t="s">
        <v>61</v>
      </c>
      <c r="B849" s="2" t="s">
        <v>9351</v>
      </c>
      <c r="C849" s="2" t="s">
        <v>9352</v>
      </c>
      <c r="D849" s="2" t="s">
        <v>9353</v>
      </c>
      <c r="F849" s="3" t="s">
        <v>61</v>
      </c>
      <c r="G849" s="3" t="s">
        <v>60</v>
      </c>
      <c r="H849" s="3" t="s">
        <v>61</v>
      </c>
      <c r="I849" s="3" t="s">
        <v>61</v>
      </c>
      <c r="J849" s="3" t="s">
        <v>62</v>
      </c>
      <c r="K849" s="2" t="s">
        <v>9354</v>
      </c>
      <c r="L849" s="2" t="s">
        <v>9355</v>
      </c>
      <c r="M849" s="3" t="s">
        <v>1596</v>
      </c>
      <c r="O849" s="3" t="s">
        <v>114</v>
      </c>
      <c r="P849" s="3" t="s">
        <v>235</v>
      </c>
      <c r="R849" s="3" t="s">
        <v>68</v>
      </c>
      <c r="S849" s="4">
        <v>5</v>
      </c>
      <c r="T849" s="4">
        <v>5</v>
      </c>
      <c r="U849" s="5" t="s">
        <v>9356</v>
      </c>
      <c r="V849" s="5" t="s">
        <v>9356</v>
      </c>
      <c r="W849" s="5" t="s">
        <v>9357</v>
      </c>
      <c r="X849" s="5" t="s">
        <v>9357</v>
      </c>
      <c r="Y849" s="4">
        <v>470</v>
      </c>
      <c r="Z849" s="4">
        <v>453</v>
      </c>
      <c r="AA849" s="4">
        <v>470</v>
      </c>
      <c r="AB849" s="4">
        <v>5</v>
      </c>
      <c r="AC849" s="4">
        <v>5</v>
      </c>
      <c r="AD849" s="4">
        <v>15</v>
      </c>
      <c r="AE849" s="4">
        <v>15</v>
      </c>
      <c r="AF849" s="4">
        <v>3</v>
      </c>
      <c r="AG849" s="4">
        <v>3</v>
      </c>
      <c r="AH849" s="4">
        <v>5</v>
      </c>
      <c r="AI849" s="4">
        <v>5</v>
      </c>
      <c r="AJ849" s="4">
        <v>8</v>
      </c>
      <c r="AK849" s="4">
        <v>8</v>
      </c>
      <c r="AL849" s="4">
        <v>3</v>
      </c>
      <c r="AM849" s="4">
        <v>3</v>
      </c>
      <c r="AN849" s="4">
        <v>0</v>
      </c>
      <c r="AO849" s="4">
        <v>0</v>
      </c>
      <c r="AP849" s="3" t="s">
        <v>61</v>
      </c>
      <c r="AQ849" s="3" t="s">
        <v>61</v>
      </c>
      <c r="AS849" s="6" t="str">
        <f>HYPERLINK("https://creighton-primo.hosted.exlibrisgroup.com/primo-explore/search?tab=default_tab&amp;search_scope=EVERYTHING&amp;vid=01CRU&amp;lang=en_US&amp;offset=0&amp;query=any,contains,991004062429702656","Catalog Record")</f>
        <v>Catalog Record</v>
      </c>
      <c r="AT849" s="6" t="str">
        <f>HYPERLINK("http://www.worldcat.org/oclc/2275847","WorldCat Record")</f>
        <v>WorldCat Record</v>
      </c>
      <c r="AU849" s="3" t="s">
        <v>9358</v>
      </c>
      <c r="AV849" s="3" t="s">
        <v>9359</v>
      </c>
      <c r="AW849" s="3" t="s">
        <v>9360</v>
      </c>
      <c r="AX849" s="3" t="s">
        <v>9360</v>
      </c>
      <c r="AY849" s="3" t="s">
        <v>9361</v>
      </c>
      <c r="AZ849" s="3" t="s">
        <v>75</v>
      </c>
      <c r="BC849" s="3" t="s">
        <v>9362</v>
      </c>
      <c r="BD849" s="3" t="s">
        <v>9363</v>
      </c>
    </row>
    <row r="850" spans="1:56" ht="44.25" customHeight="1" x14ac:dyDescent="0.25">
      <c r="A850" s="7" t="s">
        <v>61</v>
      </c>
      <c r="B850" s="2" t="s">
        <v>9364</v>
      </c>
      <c r="C850" s="2" t="s">
        <v>9365</v>
      </c>
      <c r="D850" s="2" t="s">
        <v>9366</v>
      </c>
      <c r="F850" s="3" t="s">
        <v>61</v>
      </c>
      <c r="G850" s="3" t="s">
        <v>60</v>
      </c>
      <c r="H850" s="3" t="s">
        <v>61</v>
      </c>
      <c r="I850" s="3" t="s">
        <v>61</v>
      </c>
      <c r="J850" s="3" t="s">
        <v>62</v>
      </c>
      <c r="K850" s="2" t="s">
        <v>9367</v>
      </c>
      <c r="L850" s="2" t="s">
        <v>9368</v>
      </c>
      <c r="M850" s="3" t="s">
        <v>1870</v>
      </c>
      <c r="N850" s="2" t="s">
        <v>9369</v>
      </c>
      <c r="O850" s="3" t="s">
        <v>114</v>
      </c>
      <c r="P850" s="3" t="s">
        <v>235</v>
      </c>
      <c r="R850" s="3" t="s">
        <v>68</v>
      </c>
      <c r="S850" s="4">
        <v>16</v>
      </c>
      <c r="T850" s="4">
        <v>16</v>
      </c>
      <c r="U850" s="5" t="s">
        <v>481</v>
      </c>
      <c r="V850" s="5" t="s">
        <v>481</v>
      </c>
      <c r="W850" s="5" t="s">
        <v>9370</v>
      </c>
      <c r="X850" s="5" t="s">
        <v>9370</v>
      </c>
      <c r="Y850" s="4">
        <v>190</v>
      </c>
      <c r="Z850" s="4">
        <v>159</v>
      </c>
      <c r="AA850" s="4">
        <v>1128</v>
      </c>
      <c r="AB850" s="4">
        <v>1</v>
      </c>
      <c r="AC850" s="4">
        <v>6</v>
      </c>
      <c r="AD850" s="4">
        <v>6</v>
      </c>
      <c r="AE850" s="4">
        <v>31</v>
      </c>
      <c r="AF850" s="4">
        <v>2</v>
      </c>
      <c r="AG850" s="4">
        <v>16</v>
      </c>
      <c r="AH850" s="4">
        <v>1</v>
      </c>
      <c r="AI850" s="4">
        <v>4</v>
      </c>
      <c r="AJ850" s="4">
        <v>5</v>
      </c>
      <c r="AK850" s="4">
        <v>16</v>
      </c>
      <c r="AL850" s="4">
        <v>0</v>
      </c>
      <c r="AM850" s="4">
        <v>3</v>
      </c>
      <c r="AN850" s="4">
        <v>0</v>
      </c>
      <c r="AO850" s="4">
        <v>0</v>
      </c>
      <c r="AP850" s="3" t="s">
        <v>61</v>
      </c>
      <c r="AQ850" s="3" t="s">
        <v>61</v>
      </c>
      <c r="AS850" s="6" t="str">
        <f>HYPERLINK("https://creighton-primo.hosted.exlibrisgroup.com/primo-explore/search?tab=default_tab&amp;search_scope=EVERYTHING&amp;vid=01CRU&amp;lang=en_US&amp;offset=0&amp;query=any,contains,991002323419702656","Catalog Record")</f>
        <v>Catalog Record</v>
      </c>
      <c r="AT850" s="6" t="str">
        <f>HYPERLINK("http://www.worldcat.org/oclc/30134212","WorldCat Record")</f>
        <v>WorldCat Record</v>
      </c>
      <c r="AU850" s="3" t="s">
        <v>9371</v>
      </c>
      <c r="AV850" s="3" t="s">
        <v>9372</v>
      </c>
      <c r="AW850" s="3" t="s">
        <v>9373</v>
      </c>
      <c r="AX850" s="3" t="s">
        <v>9373</v>
      </c>
      <c r="AY850" s="3" t="s">
        <v>9374</v>
      </c>
      <c r="AZ850" s="3" t="s">
        <v>75</v>
      </c>
      <c r="BB850" s="3" t="s">
        <v>9375</v>
      </c>
      <c r="BC850" s="3" t="s">
        <v>9376</v>
      </c>
      <c r="BD850" s="3" t="s">
        <v>9377</v>
      </c>
    </row>
    <row r="851" spans="1:56" ht="44.25" customHeight="1" x14ac:dyDescent="0.25">
      <c r="A851" s="7" t="s">
        <v>61</v>
      </c>
      <c r="B851" s="2" t="s">
        <v>9378</v>
      </c>
      <c r="C851" s="2" t="s">
        <v>9379</v>
      </c>
      <c r="D851" s="2" t="s">
        <v>9380</v>
      </c>
      <c r="F851" s="3" t="s">
        <v>61</v>
      </c>
      <c r="G851" s="3" t="s">
        <v>60</v>
      </c>
      <c r="H851" s="3" t="s">
        <v>61</v>
      </c>
      <c r="I851" s="3" t="s">
        <v>61</v>
      </c>
      <c r="J851" s="3" t="s">
        <v>62</v>
      </c>
      <c r="K851" s="2" t="s">
        <v>9381</v>
      </c>
      <c r="L851" s="2" t="s">
        <v>9382</v>
      </c>
      <c r="M851" s="3" t="s">
        <v>1870</v>
      </c>
      <c r="O851" s="3" t="s">
        <v>114</v>
      </c>
      <c r="P851" s="3" t="s">
        <v>619</v>
      </c>
      <c r="R851" s="3" t="s">
        <v>68</v>
      </c>
      <c r="S851" s="4">
        <v>21</v>
      </c>
      <c r="T851" s="4">
        <v>21</v>
      </c>
      <c r="U851" s="5" t="s">
        <v>9383</v>
      </c>
      <c r="V851" s="5" t="s">
        <v>9383</v>
      </c>
      <c r="W851" s="5" t="s">
        <v>9384</v>
      </c>
      <c r="X851" s="5" t="s">
        <v>9384</v>
      </c>
      <c r="Y851" s="4">
        <v>734</v>
      </c>
      <c r="Z851" s="4">
        <v>658</v>
      </c>
      <c r="AA851" s="4">
        <v>722</v>
      </c>
      <c r="AB851" s="4">
        <v>6</v>
      </c>
      <c r="AC851" s="4">
        <v>7</v>
      </c>
      <c r="AD851" s="4">
        <v>9</v>
      </c>
      <c r="AE851" s="4">
        <v>10</v>
      </c>
      <c r="AF851" s="4">
        <v>2</v>
      </c>
      <c r="AG851" s="4">
        <v>2</v>
      </c>
      <c r="AH851" s="4">
        <v>2</v>
      </c>
      <c r="AI851" s="4">
        <v>2</v>
      </c>
      <c r="AJ851" s="4">
        <v>6</v>
      </c>
      <c r="AK851" s="4">
        <v>6</v>
      </c>
      <c r="AL851" s="4">
        <v>2</v>
      </c>
      <c r="AM851" s="4">
        <v>3</v>
      </c>
      <c r="AN851" s="4">
        <v>0</v>
      </c>
      <c r="AO851" s="4">
        <v>0</v>
      </c>
      <c r="AP851" s="3" t="s">
        <v>61</v>
      </c>
      <c r="AQ851" s="3" t="s">
        <v>59</v>
      </c>
      <c r="AR851" s="6" t="str">
        <f>HYPERLINK("http://catalog.hathitrust.org/Record/002871140","HathiTrust Record")</f>
        <v>HathiTrust Record</v>
      </c>
      <c r="AS851" s="6" t="str">
        <f>HYPERLINK("https://creighton-primo.hosted.exlibrisgroup.com/primo-explore/search?tab=default_tab&amp;search_scope=EVERYTHING&amp;vid=01CRU&amp;lang=en_US&amp;offset=0&amp;query=any,contains,991002232899702656","Catalog Record")</f>
        <v>Catalog Record</v>
      </c>
      <c r="AT851" s="6" t="str">
        <f>HYPERLINK("http://www.worldcat.org/oclc/28797763","WorldCat Record")</f>
        <v>WorldCat Record</v>
      </c>
      <c r="AU851" s="3" t="s">
        <v>9385</v>
      </c>
      <c r="AV851" s="3" t="s">
        <v>9386</v>
      </c>
      <c r="AW851" s="3" t="s">
        <v>9387</v>
      </c>
      <c r="AX851" s="3" t="s">
        <v>9387</v>
      </c>
      <c r="AY851" s="3" t="s">
        <v>9388</v>
      </c>
      <c r="AZ851" s="3" t="s">
        <v>75</v>
      </c>
      <c r="BB851" s="3" t="s">
        <v>9389</v>
      </c>
      <c r="BC851" s="3" t="s">
        <v>9390</v>
      </c>
      <c r="BD851" s="3" t="s">
        <v>9391</v>
      </c>
    </row>
    <row r="852" spans="1:56" ht="44.25" customHeight="1" x14ac:dyDescent="0.25">
      <c r="A852" s="7" t="s">
        <v>61</v>
      </c>
      <c r="B852" s="2" t="s">
        <v>9392</v>
      </c>
      <c r="C852" s="2" t="s">
        <v>9393</v>
      </c>
      <c r="D852" s="2" t="s">
        <v>9394</v>
      </c>
      <c r="F852" s="3" t="s">
        <v>61</v>
      </c>
      <c r="G852" s="3" t="s">
        <v>60</v>
      </c>
      <c r="H852" s="3" t="s">
        <v>61</v>
      </c>
      <c r="I852" s="3" t="s">
        <v>61</v>
      </c>
      <c r="J852" s="3" t="s">
        <v>62</v>
      </c>
      <c r="K852" s="2" t="s">
        <v>9395</v>
      </c>
      <c r="L852" s="2" t="s">
        <v>9396</v>
      </c>
      <c r="M852" s="3" t="s">
        <v>350</v>
      </c>
      <c r="N852" s="2" t="s">
        <v>679</v>
      </c>
      <c r="O852" s="3" t="s">
        <v>114</v>
      </c>
      <c r="P852" s="3" t="s">
        <v>6440</v>
      </c>
      <c r="Q852" s="2" t="s">
        <v>9105</v>
      </c>
      <c r="R852" s="3" t="s">
        <v>68</v>
      </c>
      <c r="S852" s="4">
        <v>6</v>
      </c>
      <c r="T852" s="4">
        <v>6</v>
      </c>
      <c r="U852" s="5" t="s">
        <v>9268</v>
      </c>
      <c r="V852" s="5" t="s">
        <v>9268</v>
      </c>
      <c r="W852" s="5" t="s">
        <v>8774</v>
      </c>
      <c r="X852" s="5" t="s">
        <v>8774</v>
      </c>
      <c r="Y852" s="4">
        <v>294</v>
      </c>
      <c r="Z852" s="4">
        <v>275</v>
      </c>
      <c r="AA852" s="4">
        <v>335</v>
      </c>
      <c r="AB852" s="4">
        <v>3</v>
      </c>
      <c r="AC852" s="4">
        <v>3</v>
      </c>
      <c r="AD852" s="4">
        <v>12</v>
      </c>
      <c r="AE852" s="4">
        <v>14</v>
      </c>
      <c r="AF852" s="4">
        <v>7</v>
      </c>
      <c r="AG852" s="4">
        <v>7</v>
      </c>
      <c r="AH852" s="4">
        <v>2</v>
      </c>
      <c r="AI852" s="4">
        <v>3</v>
      </c>
      <c r="AJ852" s="4">
        <v>4</v>
      </c>
      <c r="AK852" s="4">
        <v>5</v>
      </c>
      <c r="AL852" s="4">
        <v>2</v>
      </c>
      <c r="AM852" s="4">
        <v>2</v>
      </c>
      <c r="AN852" s="4">
        <v>0</v>
      </c>
      <c r="AO852" s="4">
        <v>0</v>
      </c>
      <c r="AP852" s="3" t="s">
        <v>61</v>
      </c>
      <c r="AQ852" s="3" t="s">
        <v>59</v>
      </c>
      <c r="AR852" s="6" t="str">
        <f>HYPERLINK("http://catalog.hathitrust.org/Record/000723954","HathiTrust Record")</f>
        <v>HathiTrust Record</v>
      </c>
      <c r="AS852" s="6" t="str">
        <f>HYPERLINK("https://creighton-primo.hosted.exlibrisgroup.com/primo-explore/search?tab=default_tab&amp;search_scope=EVERYTHING&amp;vid=01CRU&amp;lang=en_US&amp;offset=0&amp;query=any,contains,991004963929702656","Catalog Record")</f>
        <v>Catalog Record</v>
      </c>
      <c r="AT852" s="6" t="str">
        <f>HYPERLINK("http://www.worldcat.org/oclc/6329478","WorldCat Record")</f>
        <v>WorldCat Record</v>
      </c>
      <c r="AU852" s="3" t="s">
        <v>9397</v>
      </c>
      <c r="AV852" s="3" t="s">
        <v>9398</v>
      </c>
      <c r="AW852" s="3" t="s">
        <v>9399</v>
      </c>
      <c r="AX852" s="3" t="s">
        <v>9399</v>
      </c>
      <c r="AY852" s="3" t="s">
        <v>9400</v>
      </c>
      <c r="AZ852" s="3" t="s">
        <v>75</v>
      </c>
      <c r="BB852" s="3" t="s">
        <v>9401</v>
      </c>
      <c r="BC852" s="3" t="s">
        <v>9402</v>
      </c>
      <c r="BD852" s="3" t="s">
        <v>9403</v>
      </c>
    </row>
    <row r="853" spans="1:56" ht="44.25" customHeight="1" x14ac:dyDescent="0.25">
      <c r="A853" s="7" t="s">
        <v>61</v>
      </c>
      <c r="B853" s="2" t="s">
        <v>9404</v>
      </c>
      <c r="C853" s="2" t="s">
        <v>9405</v>
      </c>
      <c r="D853" s="2" t="s">
        <v>9406</v>
      </c>
      <c r="F853" s="3" t="s">
        <v>61</v>
      </c>
      <c r="G853" s="3" t="s">
        <v>60</v>
      </c>
      <c r="H853" s="3" t="s">
        <v>61</v>
      </c>
      <c r="I853" s="3" t="s">
        <v>61</v>
      </c>
      <c r="J853" s="3" t="s">
        <v>62</v>
      </c>
      <c r="K853" s="2" t="s">
        <v>9407</v>
      </c>
      <c r="L853" s="2" t="s">
        <v>9408</v>
      </c>
      <c r="M853" s="3" t="s">
        <v>884</v>
      </c>
      <c r="O853" s="3" t="s">
        <v>114</v>
      </c>
      <c r="P853" s="3" t="s">
        <v>649</v>
      </c>
      <c r="R853" s="3" t="s">
        <v>68</v>
      </c>
      <c r="S853" s="4">
        <v>14</v>
      </c>
      <c r="T853" s="4">
        <v>14</v>
      </c>
      <c r="U853" s="5" t="s">
        <v>481</v>
      </c>
      <c r="V853" s="5" t="s">
        <v>481</v>
      </c>
      <c r="W853" s="5" t="s">
        <v>9409</v>
      </c>
      <c r="X853" s="5" t="s">
        <v>9409</v>
      </c>
      <c r="Y853" s="4">
        <v>209</v>
      </c>
      <c r="Z853" s="4">
        <v>188</v>
      </c>
      <c r="AA853" s="4">
        <v>381</v>
      </c>
      <c r="AB853" s="4">
        <v>2</v>
      </c>
      <c r="AC853" s="4">
        <v>2</v>
      </c>
      <c r="AD853" s="4">
        <v>9</v>
      </c>
      <c r="AE853" s="4">
        <v>17</v>
      </c>
      <c r="AF853" s="4">
        <v>2</v>
      </c>
      <c r="AG853" s="4">
        <v>6</v>
      </c>
      <c r="AH853" s="4">
        <v>4</v>
      </c>
      <c r="AI853" s="4">
        <v>7</v>
      </c>
      <c r="AJ853" s="4">
        <v>5</v>
      </c>
      <c r="AK853" s="4">
        <v>8</v>
      </c>
      <c r="AL853" s="4">
        <v>1</v>
      </c>
      <c r="AM853" s="4">
        <v>1</v>
      </c>
      <c r="AN853" s="4">
        <v>0</v>
      </c>
      <c r="AO853" s="4">
        <v>0</v>
      </c>
      <c r="AP853" s="3" t="s">
        <v>61</v>
      </c>
      <c r="AQ853" s="3" t="s">
        <v>61</v>
      </c>
      <c r="AS853" s="6" t="str">
        <f>HYPERLINK("https://creighton-primo.hosted.exlibrisgroup.com/primo-explore/search?tab=default_tab&amp;search_scope=EVERYTHING&amp;vid=01CRU&amp;lang=en_US&amp;offset=0&amp;query=any,contains,991000610479702656","Catalog Record")</f>
        <v>Catalog Record</v>
      </c>
      <c r="AT853" s="6" t="str">
        <f>HYPERLINK("http://www.worldcat.org/oclc/100394","WorldCat Record")</f>
        <v>WorldCat Record</v>
      </c>
      <c r="AU853" s="3" t="s">
        <v>9410</v>
      </c>
      <c r="AV853" s="3" t="s">
        <v>9411</v>
      </c>
      <c r="AW853" s="3" t="s">
        <v>9412</v>
      </c>
      <c r="AX853" s="3" t="s">
        <v>9412</v>
      </c>
      <c r="AY853" s="3" t="s">
        <v>9413</v>
      </c>
      <c r="AZ853" s="3" t="s">
        <v>75</v>
      </c>
      <c r="BB853" s="3" t="s">
        <v>9414</v>
      </c>
      <c r="BC853" s="3" t="s">
        <v>9415</v>
      </c>
      <c r="BD853" s="3" t="s">
        <v>9416</v>
      </c>
    </row>
    <row r="854" spans="1:56" ht="44.25" customHeight="1" x14ac:dyDescent="0.25">
      <c r="A854" s="7" t="s">
        <v>61</v>
      </c>
      <c r="B854" s="2" t="s">
        <v>9417</v>
      </c>
      <c r="C854" s="2" t="s">
        <v>9418</v>
      </c>
      <c r="D854" s="2" t="s">
        <v>9419</v>
      </c>
      <c r="F854" s="3" t="s">
        <v>61</v>
      </c>
      <c r="G854" s="3" t="s">
        <v>60</v>
      </c>
      <c r="H854" s="3" t="s">
        <v>61</v>
      </c>
      <c r="I854" s="3" t="s">
        <v>61</v>
      </c>
      <c r="J854" s="3" t="s">
        <v>62</v>
      </c>
      <c r="K854" s="2" t="s">
        <v>9420</v>
      </c>
      <c r="L854" s="2" t="s">
        <v>9421</v>
      </c>
      <c r="M854" s="3" t="s">
        <v>350</v>
      </c>
      <c r="O854" s="3" t="s">
        <v>114</v>
      </c>
      <c r="P854" s="3" t="s">
        <v>437</v>
      </c>
      <c r="R854" s="3" t="s">
        <v>68</v>
      </c>
      <c r="S854" s="4">
        <v>17</v>
      </c>
      <c r="T854" s="4">
        <v>17</v>
      </c>
      <c r="U854" s="5" t="s">
        <v>4207</v>
      </c>
      <c r="V854" s="5" t="s">
        <v>4207</v>
      </c>
      <c r="W854" s="5" t="s">
        <v>117</v>
      </c>
      <c r="X854" s="5" t="s">
        <v>117</v>
      </c>
      <c r="Y854" s="4">
        <v>444</v>
      </c>
      <c r="Z854" s="4">
        <v>418</v>
      </c>
      <c r="AA854" s="4">
        <v>427</v>
      </c>
      <c r="AB854" s="4">
        <v>4</v>
      </c>
      <c r="AC854" s="4">
        <v>4</v>
      </c>
      <c r="AD854" s="4">
        <v>15</v>
      </c>
      <c r="AE854" s="4">
        <v>15</v>
      </c>
      <c r="AF854" s="4">
        <v>5</v>
      </c>
      <c r="AG854" s="4">
        <v>5</v>
      </c>
      <c r="AH854" s="4">
        <v>4</v>
      </c>
      <c r="AI854" s="4">
        <v>4</v>
      </c>
      <c r="AJ854" s="4">
        <v>8</v>
      </c>
      <c r="AK854" s="4">
        <v>8</v>
      </c>
      <c r="AL854" s="4">
        <v>2</v>
      </c>
      <c r="AM854" s="4">
        <v>2</v>
      </c>
      <c r="AN854" s="4">
        <v>0</v>
      </c>
      <c r="AO854" s="4">
        <v>0</v>
      </c>
      <c r="AP854" s="3" t="s">
        <v>61</v>
      </c>
      <c r="AQ854" s="3" t="s">
        <v>59</v>
      </c>
      <c r="AR854" s="6" t="str">
        <f>HYPERLINK("http://catalog.hathitrust.org/Record/000216059","HathiTrust Record")</f>
        <v>HathiTrust Record</v>
      </c>
      <c r="AS854" s="6" t="str">
        <f>HYPERLINK("https://creighton-primo.hosted.exlibrisgroup.com/primo-explore/search?tab=default_tab&amp;search_scope=EVERYTHING&amp;vid=01CRU&amp;lang=en_US&amp;offset=0&amp;query=any,contains,991005372179702656","Catalog Record")</f>
        <v>Catalog Record</v>
      </c>
      <c r="AT854" s="6" t="str">
        <f>HYPERLINK("http://www.worldcat.org/oclc/4194530","WorldCat Record")</f>
        <v>WorldCat Record</v>
      </c>
      <c r="AU854" s="3" t="s">
        <v>9422</v>
      </c>
      <c r="AV854" s="3" t="s">
        <v>9423</v>
      </c>
      <c r="AW854" s="3" t="s">
        <v>9424</v>
      </c>
      <c r="AX854" s="3" t="s">
        <v>9424</v>
      </c>
      <c r="AY854" s="3" t="s">
        <v>9425</v>
      </c>
      <c r="AZ854" s="3" t="s">
        <v>75</v>
      </c>
      <c r="BB854" s="3" t="s">
        <v>9426</v>
      </c>
      <c r="BC854" s="3" t="s">
        <v>9427</v>
      </c>
      <c r="BD854" s="3" t="s">
        <v>9428</v>
      </c>
    </row>
    <row r="855" spans="1:56" ht="44.25" customHeight="1" x14ac:dyDescent="0.25">
      <c r="A855" s="7" t="s">
        <v>61</v>
      </c>
      <c r="B855" s="2" t="s">
        <v>9429</v>
      </c>
      <c r="C855" s="2" t="s">
        <v>9430</v>
      </c>
      <c r="D855" s="2" t="s">
        <v>9431</v>
      </c>
      <c r="F855" s="3" t="s">
        <v>61</v>
      </c>
      <c r="G855" s="3" t="s">
        <v>60</v>
      </c>
      <c r="H855" s="3" t="s">
        <v>61</v>
      </c>
      <c r="I855" s="3" t="s">
        <v>61</v>
      </c>
      <c r="J855" s="3" t="s">
        <v>62</v>
      </c>
      <c r="K855" s="2" t="s">
        <v>9432</v>
      </c>
      <c r="L855" s="2" t="s">
        <v>9433</v>
      </c>
      <c r="M855" s="3" t="s">
        <v>2323</v>
      </c>
      <c r="O855" s="3" t="s">
        <v>114</v>
      </c>
      <c r="P855" s="3" t="s">
        <v>649</v>
      </c>
      <c r="Q855" s="2" t="s">
        <v>9434</v>
      </c>
      <c r="R855" s="3" t="s">
        <v>68</v>
      </c>
      <c r="S855" s="4">
        <v>2</v>
      </c>
      <c r="T855" s="4">
        <v>2</v>
      </c>
      <c r="U855" s="5" t="s">
        <v>9435</v>
      </c>
      <c r="V855" s="5" t="s">
        <v>9435</v>
      </c>
      <c r="W855" s="5" t="s">
        <v>9436</v>
      </c>
      <c r="X855" s="5" t="s">
        <v>9436</v>
      </c>
      <c r="Y855" s="4">
        <v>123</v>
      </c>
      <c r="Z855" s="4">
        <v>118</v>
      </c>
      <c r="AA855" s="4">
        <v>121</v>
      </c>
      <c r="AB855" s="4">
        <v>1</v>
      </c>
      <c r="AC855" s="4">
        <v>1</v>
      </c>
      <c r="AD855" s="4">
        <v>5</v>
      </c>
      <c r="AE855" s="4">
        <v>6</v>
      </c>
      <c r="AF855" s="4">
        <v>4</v>
      </c>
      <c r="AG855" s="4">
        <v>5</v>
      </c>
      <c r="AH855" s="4">
        <v>1</v>
      </c>
      <c r="AI855" s="4">
        <v>2</v>
      </c>
      <c r="AJ855" s="4">
        <v>3</v>
      </c>
      <c r="AK855" s="4">
        <v>3</v>
      </c>
      <c r="AL855" s="4">
        <v>0</v>
      </c>
      <c r="AM855" s="4">
        <v>0</v>
      </c>
      <c r="AN855" s="4">
        <v>0</v>
      </c>
      <c r="AO855" s="4">
        <v>0</v>
      </c>
      <c r="AP855" s="3" t="s">
        <v>61</v>
      </c>
      <c r="AQ855" s="3" t="s">
        <v>61</v>
      </c>
      <c r="AS855" s="6" t="str">
        <f>HYPERLINK("https://creighton-primo.hosted.exlibrisgroup.com/primo-explore/search?tab=default_tab&amp;search_scope=EVERYTHING&amp;vid=01CRU&amp;lang=en_US&amp;offset=0&amp;query=any,contains,991004294069702656","Catalog Record")</f>
        <v>Catalog Record</v>
      </c>
      <c r="AT855" s="6" t="str">
        <f>HYPERLINK("http://www.worldcat.org/oclc/53276517","WorldCat Record")</f>
        <v>WorldCat Record</v>
      </c>
      <c r="AU855" s="3" t="s">
        <v>9437</v>
      </c>
      <c r="AV855" s="3" t="s">
        <v>9438</v>
      </c>
      <c r="AW855" s="3" t="s">
        <v>9439</v>
      </c>
      <c r="AX855" s="3" t="s">
        <v>9439</v>
      </c>
      <c r="AY855" s="3" t="s">
        <v>9440</v>
      </c>
      <c r="AZ855" s="3" t="s">
        <v>75</v>
      </c>
      <c r="BB855" s="3" t="s">
        <v>9441</v>
      </c>
      <c r="BC855" s="3" t="s">
        <v>9442</v>
      </c>
      <c r="BD855" s="3" t="s">
        <v>9443</v>
      </c>
    </row>
    <row r="856" spans="1:56" ht="44.25" customHeight="1" x14ac:dyDescent="0.25">
      <c r="A856" s="7" t="s">
        <v>61</v>
      </c>
      <c r="B856" s="2" t="s">
        <v>9444</v>
      </c>
      <c r="C856" s="2" t="s">
        <v>9445</v>
      </c>
      <c r="D856" s="2" t="s">
        <v>9446</v>
      </c>
      <c r="F856" s="3" t="s">
        <v>61</v>
      </c>
      <c r="G856" s="3" t="s">
        <v>60</v>
      </c>
      <c r="H856" s="3" t="s">
        <v>61</v>
      </c>
      <c r="I856" s="3" t="s">
        <v>61</v>
      </c>
      <c r="J856" s="3" t="s">
        <v>62</v>
      </c>
      <c r="K856" s="2" t="s">
        <v>9447</v>
      </c>
      <c r="L856" s="2" t="s">
        <v>9448</v>
      </c>
      <c r="M856" s="3" t="s">
        <v>2281</v>
      </c>
      <c r="O856" s="3" t="s">
        <v>114</v>
      </c>
      <c r="P856" s="3" t="s">
        <v>437</v>
      </c>
      <c r="R856" s="3" t="s">
        <v>68</v>
      </c>
      <c r="S856" s="4">
        <v>13</v>
      </c>
      <c r="T856" s="4">
        <v>13</v>
      </c>
      <c r="U856" s="5" t="s">
        <v>9449</v>
      </c>
      <c r="V856" s="5" t="s">
        <v>9449</v>
      </c>
      <c r="W856" s="5" t="s">
        <v>7325</v>
      </c>
      <c r="X856" s="5" t="s">
        <v>7325</v>
      </c>
      <c r="Y856" s="4">
        <v>299</v>
      </c>
      <c r="Z856" s="4">
        <v>284</v>
      </c>
      <c r="AA856" s="4">
        <v>353</v>
      </c>
      <c r="AB856" s="4">
        <v>2</v>
      </c>
      <c r="AC856" s="4">
        <v>3</v>
      </c>
      <c r="AD856" s="4">
        <v>11</v>
      </c>
      <c r="AE856" s="4">
        <v>15</v>
      </c>
      <c r="AF856" s="4">
        <v>5</v>
      </c>
      <c r="AG856" s="4">
        <v>7</v>
      </c>
      <c r="AH856" s="4">
        <v>4</v>
      </c>
      <c r="AI856" s="4">
        <v>4</v>
      </c>
      <c r="AJ856" s="4">
        <v>6</v>
      </c>
      <c r="AK856" s="4">
        <v>8</v>
      </c>
      <c r="AL856" s="4">
        <v>0</v>
      </c>
      <c r="AM856" s="4">
        <v>1</v>
      </c>
      <c r="AN856" s="4">
        <v>0</v>
      </c>
      <c r="AO856" s="4">
        <v>0</v>
      </c>
      <c r="AP856" s="3" t="s">
        <v>61</v>
      </c>
      <c r="AQ856" s="3" t="s">
        <v>59</v>
      </c>
      <c r="AR856" s="6" t="str">
        <f>HYPERLINK("http://catalog.hathitrust.org/Record/007556684","HathiTrust Record")</f>
        <v>HathiTrust Record</v>
      </c>
      <c r="AS856" s="6" t="str">
        <f>HYPERLINK("https://creighton-primo.hosted.exlibrisgroup.com/primo-explore/search?tab=default_tab&amp;search_scope=EVERYTHING&amp;vid=01CRU&amp;lang=en_US&amp;offset=0&amp;query=any,contains,991005371329702656","Catalog Record")</f>
        <v>Catalog Record</v>
      </c>
      <c r="AT856" s="6" t="str">
        <f>HYPERLINK("http://www.worldcat.org/oclc/3585040","WorldCat Record")</f>
        <v>WorldCat Record</v>
      </c>
      <c r="AU856" s="3" t="s">
        <v>9450</v>
      </c>
      <c r="AV856" s="3" t="s">
        <v>9451</v>
      </c>
      <c r="AW856" s="3" t="s">
        <v>9452</v>
      </c>
      <c r="AX856" s="3" t="s">
        <v>9452</v>
      </c>
      <c r="AY856" s="3" t="s">
        <v>9453</v>
      </c>
      <c r="AZ856" s="3" t="s">
        <v>75</v>
      </c>
      <c r="BB856" s="3" t="s">
        <v>9454</v>
      </c>
      <c r="BC856" s="3" t="s">
        <v>9455</v>
      </c>
      <c r="BD856" s="3" t="s">
        <v>9456</v>
      </c>
    </row>
    <row r="857" spans="1:56" ht="44.25" customHeight="1" x14ac:dyDescent="0.25">
      <c r="A857" s="7" t="s">
        <v>61</v>
      </c>
      <c r="B857" s="2" t="s">
        <v>9457</v>
      </c>
      <c r="C857" s="2" t="s">
        <v>9458</v>
      </c>
      <c r="D857" s="2" t="s">
        <v>9459</v>
      </c>
      <c r="F857" s="3" t="s">
        <v>61</v>
      </c>
      <c r="G857" s="3" t="s">
        <v>60</v>
      </c>
      <c r="H857" s="3" t="s">
        <v>61</v>
      </c>
      <c r="I857" s="3" t="s">
        <v>61</v>
      </c>
      <c r="J857" s="3" t="s">
        <v>62</v>
      </c>
      <c r="K857" s="2" t="s">
        <v>9460</v>
      </c>
      <c r="L857" s="2" t="s">
        <v>9461</v>
      </c>
      <c r="M857" s="3" t="s">
        <v>451</v>
      </c>
      <c r="O857" s="3" t="s">
        <v>114</v>
      </c>
      <c r="P857" s="3" t="s">
        <v>335</v>
      </c>
      <c r="R857" s="3" t="s">
        <v>68</v>
      </c>
      <c r="S857" s="4">
        <v>3</v>
      </c>
      <c r="T857" s="4">
        <v>3</v>
      </c>
      <c r="U857" s="5" t="s">
        <v>8386</v>
      </c>
      <c r="V857" s="5" t="s">
        <v>8386</v>
      </c>
      <c r="W857" s="5" t="s">
        <v>9462</v>
      </c>
      <c r="X857" s="5" t="s">
        <v>9462</v>
      </c>
      <c r="Y857" s="4">
        <v>304</v>
      </c>
      <c r="Z857" s="4">
        <v>249</v>
      </c>
      <c r="AA857" s="4">
        <v>249</v>
      </c>
      <c r="AB857" s="4">
        <v>3</v>
      </c>
      <c r="AC857" s="4">
        <v>3</v>
      </c>
      <c r="AD857" s="4">
        <v>11</v>
      </c>
      <c r="AE857" s="4">
        <v>11</v>
      </c>
      <c r="AF857" s="4">
        <v>2</v>
      </c>
      <c r="AG857" s="4">
        <v>2</v>
      </c>
      <c r="AH857" s="4">
        <v>3</v>
      </c>
      <c r="AI857" s="4">
        <v>3</v>
      </c>
      <c r="AJ857" s="4">
        <v>7</v>
      </c>
      <c r="AK857" s="4">
        <v>7</v>
      </c>
      <c r="AL857" s="4">
        <v>2</v>
      </c>
      <c r="AM857" s="4">
        <v>2</v>
      </c>
      <c r="AN857" s="4">
        <v>0</v>
      </c>
      <c r="AO857" s="4">
        <v>0</v>
      </c>
      <c r="AP857" s="3" t="s">
        <v>61</v>
      </c>
      <c r="AQ857" s="3" t="s">
        <v>61</v>
      </c>
      <c r="AS857" s="6" t="str">
        <f>HYPERLINK("https://creighton-primo.hosted.exlibrisgroup.com/primo-explore/search?tab=default_tab&amp;search_scope=EVERYTHING&amp;vid=01CRU&amp;lang=en_US&amp;offset=0&amp;query=any,contains,991003339969702656","Catalog Record")</f>
        <v>Catalog Record</v>
      </c>
      <c r="AT857" s="6" t="str">
        <f>HYPERLINK("http://www.worldcat.org/oclc/38304326","WorldCat Record")</f>
        <v>WorldCat Record</v>
      </c>
      <c r="AU857" s="3" t="s">
        <v>9463</v>
      </c>
      <c r="AV857" s="3" t="s">
        <v>9464</v>
      </c>
      <c r="AW857" s="3" t="s">
        <v>9465</v>
      </c>
      <c r="AX857" s="3" t="s">
        <v>9465</v>
      </c>
      <c r="AY857" s="3" t="s">
        <v>9466</v>
      </c>
      <c r="AZ857" s="3" t="s">
        <v>75</v>
      </c>
      <c r="BB857" s="3" t="s">
        <v>9467</v>
      </c>
      <c r="BC857" s="3" t="s">
        <v>9468</v>
      </c>
      <c r="BD857" s="3" t="s">
        <v>9469</v>
      </c>
    </row>
    <row r="858" spans="1:56" ht="44.25" customHeight="1" x14ac:dyDescent="0.25">
      <c r="A858" s="7" t="s">
        <v>61</v>
      </c>
      <c r="B858" s="2" t="s">
        <v>9470</v>
      </c>
      <c r="C858" s="2" t="s">
        <v>9471</v>
      </c>
      <c r="D858" s="2" t="s">
        <v>9472</v>
      </c>
      <c r="F858" s="3" t="s">
        <v>61</v>
      </c>
      <c r="G858" s="3" t="s">
        <v>60</v>
      </c>
      <c r="H858" s="3" t="s">
        <v>61</v>
      </c>
      <c r="I858" s="3" t="s">
        <v>61</v>
      </c>
      <c r="J858" s="3" t="s">
        <v>62</v>
      </c>
      <c r="L858" s="2" t="s">
        <v>9473</v>
      </c>
      <c r="M858" s="3" t="s">
        <v>552</v>
      </c>
      <c r="O858" s="3" t="s">
        <v>114</v>
      </c>
      <c r="P858" s="3" t="s">
        <v>437</v>
      </c>
      <c r="R858" s="3" t="s">
        <v>68</v>
      </c>
      <c r="S858" s="4">
        <v>20</v>
      </c>
      <c r="T858" s="4">
        <v>20</v>
      </c>
      <c r="U858" s="5" t="s">
        <v>9449</v>
      </c>
      <c r="V858" s="5" t="s">
        <v>9449</v>
      </c>
      <c r="W858" s="5" t="s">
        <v>9474</v>
      </c>
      <c r="X858" s="5" t="s">
        <v>9474</v>
      </c>
      <c r="Y858" s="4">
        <v>122</v>
      </c>
      <c r="Z858" s="4">
        <v>118</v>
      </c>
      <c r="AA858" s="4">
        <v>916</v>
      </c>
      <c r="AB858" s="4">
        <v>2</v>
      </c>
      <c r="AC858" s="4">
        <v>7</v>
      </c>
      <c r="AD858" s="4">
        <v>4</v>
      </c>
      <c r="AE858" s="4">
        <v>22</v>
      </c>
      <c r="AF858" s="4">
        <v>1</v>
      </c>
      <c r="AG858" s="4">
        <v>8</v>
      </c>
      <c r="AH858" s="4">
        <v>0</v>
      </c>
      <c r="AI858" s="4">
        <v>4</v>
      </c>
      <c r="AJ858" s="4">
        <v>3</v>
      </c>
      <c r="AK858" s="4">
        <v>14</v>
      </c>
      <c r="AL858" s="4">
        <v>0</v>
      </c>
      <c r="AM858" s="4">
        <v>2</v>
      </c>
      <c r="AN858" s="4">
        <v>0</v>
      </c>
      <c r="AO858" s="4">
        <v>0</v>
      </c>
      <c r="AP858" s="3" t="s">
        <v>61</v>
      </c>
      <c r="AQ858" s="3" t="s">
        <v>61</v>
      </c>
      <c r="AS858" s="6" t="str">
        <f>HYPERLINK("https://creighton-primo.hosted.exlibrisgroup.com/primo-explore/search?tab=default_tab&amp;search_scope=EVERYTHING&amp;vid=01CRU&amp;lang=en_US&amp;offset=0&amp;query=any,contains,991005413199702656","Catalog Record")</f>
        <v>Catalog Record</v>
      </c>
      <c r="AT858" s="6" t="str">
        <f>HYPERLINK("http://www.worldcat.org/oclc/23191446","WorldCat Record")</f>
        <v>WorldCat Record</v>
      </c>
      <c r="AU858" s="3" t="s">
        <v>9475</v>
      </c>
      <c r="AV858" s="3" t="s">
        <v>9476</v>
      </c>
      <c r="AW858" s="3" t="s">
        <v>9477</v>
      </c>
      <c r="AX858" s="3" t="s">
        <v>9477</v>
      </c>
      <c r="AY858" s="3" t="s">
        <v>9478</v>
      </c>
      <c r="AZ858" s="3" t="s">
        <v>75</v>
      </c>
      <c r="BB858" s="3" t="s">
        <v>9479</v>
      </c>
      <c r="BC858" s="3" t="s">
        <v>9480</v>
      </c>
      <c r="BD858" s="3" t="s">
        <v>9481</v>
      </c>
    </row>
    <row r="859" spans="1:56" ht="44.25" customHeight="1" x14ac:dyDescent="0.25">
      <c r="A859" s="7" t="s">
        <v>61</v>
      </c>
      <c r="B859" s="2" t="s">
        <v>9482</v>
      </c>
      <c r="C859" s="2" t="s">
        <v>9483</v>
      </c>
      <c r="D859" s="2" t="s">
        <v>9484</v>
      </c>
      <c r="F859" s="3" t="s">
        <v>61</v>
      </c>
      <c r="G859" s="3" t="s">
        <v>60</v>
      </c>
      <c r="H859" s="3" t="s">
        <v>61</v>
      </c>
      <c r="I859" s="3" t="s">
        <v>61</v>
      </c>
      <c r="J859" s="3" t="s">
        <v>62</v>
      </c>
      <c r="K859" s="2" t="s">
        <v>9143</v>
      </c>
      <c r="L859" s="2" t="s">
        <v>9485</v>
      </c>
      <c r="M859" s="3" t="s">
        <v>2281</v>
      </c>
      <c r="O859" s="3" t="s">
        <v>114</v>
      </c>
      <c r="P859" s="3" t="s">
        <v>235</v>
      </c>
      <c r="R859" s="3" t="s">
        <v>68</v>
      </c>
      <c r="S859" s="4">
        <v>6</v>
      </c>
      <c r="T859" s="4">
        <v>6</v>
      </c>
      <c r="U859" s="5" t="s">
        <v>9486</v>
      </c>
      <c r="V859" s="5" t="s">
        <v>9486</v>
      </c>
      <c r="W859" s="5" t="s">
        <v>9487</v>
      </c>
      <c r="X859" s="5" t="s">
        <v>9487</v>
      </c>
      <c r="Y859" s="4">
        <v>1159</v>
      </c>
      <c r="Z859" s="4">
        <v>1069</v>
      </c>
      <c r="AA859" s="4">
        <v>1095</v>
      </c>
      <c r="AB859" s="4">
        <v>11</v>
      </c>
      <c r="AC859" s="4">
        <v>12</v>
      </c>
      <c r="AD859" s="4">
        <v>32</v>
      </c>
      <c r="AE859" s="4">
        <v>33</v>
      </c>
      <c r="AF859" s="4">
        <v>10</v>
      </c>
      <c r="AG859" s="4">
        <v>10</v>
      </c>
      <c r="AH859" s="4">
        <v>9</v>
      </c>
      <c r="AI859" s="4">
        <v>9</v>
      </c>
      <c r="AJ859" s="4">
        <v>15</v>
      </c>
      <c r="AK859" s="4">
        <v>15</v>
      </c>
      <c r="AL859" s="4">
        <v>8</v>
      </c>
      <c r="AM859" s="4">
        <v>9</v>
      </c>
      <c r="AN859" s="4">
        <v>0</v>
      </c>
      <c r="AO859" s="4">
        <v>0</v>
      </c>
      <c r="AP859" s="3" t="s">
        <v>61</v>
      </c>
      <c r="AQ859" s="3" t="s">
        <v>59</v>
      </c>
      <c r="AR859" s="6" t="str">
        <f>HYPERLINK("http://catalog.hathitrust.org/Record/000729351","HathiTrust Record")</f>
        <v>HathiTrust Record</v>
      </c>
      <c r="AS859" s="6" t="str">
        <f>HYPERLINK("https://creighton-primo.hosted.exlibrisgroup.com/primo-explore/search?tab=default_tab&amp;search_scope=EVERYTHING&amp;vid=01CRU&amp;lang=en_US&amp;offset=0&amp;query=any,contains,991004075789702656","Catalog Record")</f>
        <v>Catalog Record</v>
      </c>
      <c r="AT859" s="6" t="str">
        <f>HYPERLINK("http://www.worldcat.org/oclc/2318054","WorldCat Record")</f>
        <v>WorldCat Record</v>
      </c>
      <c r="AU859" s="3" t="s">
        <v>9488</v>
      </c>
      <c r="AV859" s="3" t="s">
        <v>9489</v>
      </c>
      <c r="AW859" s="3" t="s">
        <v>9490</v>
      </c>
      <c r="AX859" s="3" t="s">
        <v>9490</v>
      </c>
      <c r="AY859" s="3" t="s">
        <v>9491</v>
      </c>
      <c r="AZ859" s="3" t="s">
        <v>75</v>
      </c>
      <c r="BB859" s="3" t="s">
        <v>9492</v>
      </c>
      <c r="BC859" s="3" t="s">
        <v>9493</v>
      </c>
      <c r="BD859" s="3" t="s">
        <v>9494</v>
      </c>
    </row>
    <row r="860" spans="1:56" ht="44.25" customHeight="1" x14ac:dyDescent="0.25">
      <c r="A860" s="7" t="s">
        <v>61</v>
      </c>
      <c r="B860" s="2" t="s">
        <v>9495</v>
      </c>
      <c r="C860" s="2" t="s">
        <v>9496</v>
      </c>
      <c r="D860" s="2" t="s">
        <v>9497</v>
      </c>
      <c r="F860" s="3" t="s">
        <v>61</v>
      </c>
      <c r="G860" s="3" t="s">
        <v>60</v>
      </c>
      <c r="H860" s="3" t="s">
        <v>61</v>
      </c>
      <c r="I860" s="3" t="s">
        <v>61</v>
      </c>
      <c r="J860" s="3" t="s">
        <v>62</v>
      </c>
      <c r="K860" s="2" t="s">
        <v>9498</v>
      </c>
      <c r="L860" s="2" t="s">
        <v>9499</v>
      </c>
      <c r="M860" s="3" t="s">
        <v>350</v>
      </c>
      <c r="N860" s="2" t="s">
        <v>679</v>
      </c>
      <c r="O860" s="3" t="s">
        <v>114</v>
      </c>
      <c r="P860" s="3" t="s">
        <v>235</v>
      </c>
      <c r="R860" s="3" t="s">
        <v>68</v>
      </c>
      <c r="S860" s="4">
        <v>1</v>
      </c>
      <c r="T860" s="4">
        <v>1</v>
      </c>
      <c r="U860" s="5" t="s">
        <v>3141</v>
      </c>
      <c r="V860" s="5" t="s">
        <v>3141</v>
      </c>
      <c r="W860" s="5" t="s">
        <v>9500</v>
      </c>
      <c r="X860" s="5" t="s">
        <v>9500</v>
      </c>
      <c r="Y860" s="4">
        <v>309</v>
      </c>
      <c r="Z860" s="4">
        <v>295</v>
      </c>
      <c r="AA860" s="4">
        <v>380</v>
      </c>
      <c r="AB860" s="4">
        <v>4</v>
      </c>
      <c r="AC860" s="4">
        <v>4</v>
      </c>
      <c r="AD860" s="4">
        <v>4</v>
      </c>
      <c r="AE860" s="4">
        <v>6</v>
      </c>
      <c r="AF860" s="4">
        <v>1</v>
      </c>
      <c r="AG860" s="4">
        <v>1</v>
      </c>
      <c r="AH860" s="4">
        <v>2</v>
      </c>
      <c r="AI860" s="4">
        <v>2</v>
      </c>
      <c r="AJ860" s="4">
        <v>1</v>
      </c>
      <c r="AK860" s="4">
        <v>3</v>
      </c>
      <c r="AL860" s="4">
        <v>1</v>
      </c>
      <c r="AM860" s="4">
        <v>1</v>
      </c>
      <c r="AN860" s="4">
        <v>0</v>
      </c>
      <c r="AO860" s="4">
        <v>0</v>
      </c>
      <c r="AP860" s="3" t="s">
        <v>61</v>
      </c>
      <c r="AQ860" s="3" t="s">
        <v>59</v>
      </c>
      <c r="AR860" s="6" t="str">
        <f>HYPERLINK("http://catalog.hathitrust.org/Record/000690142","HathiTrust Record")</f>
        <v>HathiTrust Record</v>
      </c>
      <c r="AS860" s="6" t="str">
        <f>HYPERLINK("https://creighton-primo.hosted.exlibrisgroup.com/primo-explore/search?tab=default_tab&amp;search_scope=EVERYTHING&amp;vid=01CRU&amp;lang=en_US&amp;offset=0&amp;query=any,contains,991004681879702656","Catalog Record")</f>
        <v>Catalog Record</v>
      </c>
      <c r="AT860" s="6" t="str">
        <f>HYPERLINK("http://www.worldcat.org/oclc/4570319","WorldCat Record")</f>
        <v>WorldCat Record</v>
      </c>
      <c r="AU860" s="3" t="s">
        <v>9501</v>
      </c>
      <c r="AV860" s="3" t="s">
        <v>9502</v>
      </c>
      <c r="AW860" s="3" t="s">
        <v>9503</v>
      </c>
      <c r="AX860" s="3" t="s">
        <v>9503</v>
      </c>
      <c r="AY860" s="3" t="s">
        <v>9504</v>
      </c>
      <c r="AZ860" s="3" t="s">
        <v>75</v>
      </c>
      <c r="BB860" s="3" t="s">
        <v>9505</v>
      </c>
      <c r="BC860" s="3" t="s">
        <v>9506</v>
      </c>
      <c r="BD860" s="3" t="s">
        <v>9507</v>
      </c>
    </row>
    <row r="861" spans="1:56" ht="44.25" customHeight="1" x14ac:dyDescent="0.25">
      <c r="A861" s="7" t="s">
        <v>61</v>
      </c>
      <c r="B861" s="2" t="s">
        <v>9508</v>
      </c>
      <c r="C861" s="2" t="s">
        <v>9509</v>
      </c>
      <c r="D861" s="2" t="s">
        <v>9510</v>
      </c>
      <c r="F861" s="3" t="s">
        <v>61</v>
      </c>
      <c r="G861" s="3" t="s">
        <v>60</v>
      </c>
      <c r="H861" s="3" t="s">
        <v>61</v>
      </c>
      <c r="I861" s="3" t="s">
        <v>61</v>
      </c>
      <c r="J861" s="3" t="s">
        <v>62</v>
      </c>
      <c r="K861" s="2" t="s">
        <v>9511</v>
      </c>
      <c r="L861" s="2" t="s">
        <v>9512</v>
      </c>
      <c r="M861" s="3" t="s">
        <v>2281</v>
      </c>
      <c r="N861" s="2" t="s">
        <v>634</v>
      </c>
      <c r="O861" s="3" t="s">
        <v>114</v>
      </c>
      <c r="P861" s="3" t="s">
        <v>1212</v>
      </c>
      <c r="R861" s="3" t="s">
        <v>68</v>
      </c>
      <c r="S861" s="4">
        <v>12</v>
      </c>
      <c r="T861" s="4">
        <v>12</v>
      </c>
      <c r="U861" s="5" t="s">
        <v>7485</v>
      </c>
      <c r="V861" s="5" t="s">
        <v>7485</v>
      </c>
      <c r="W861" s="5" t="s">
        <v>117</v>
      </c>
      <c r="X861" s="5" t="s">
        <v>117</v>
      </c>
      <c r="Y861" s="4">
        <v>447</v>
      </c>
      <c r="Z861" s="4">
        <v>392</v>
      </c>
      <c r="AA861" s="4">
        <v>393</v>
      </c>
      <c r="AB861" s="4">
        <v>4</v>
      </c>
      <c r="AC861" s="4">
        <v>4</v>
      </c>
      <c r="AD861" s="4">
        <v>13</v>
      </c>
      <c r="AE861" s="4">
        <v>13</v>
      </c>
      <c r="AF861" s="4">
        <v>4</v>
      </c>
      <c r="AG861" s="4">
        <v>4</v>
      </c>
      <c r="AH861" s="4">
        <v>2</v>
      </c>
      <c r="AI861" s="4">
        <v>2</v>
      </c>
      <c r="AJ861" s="4">
        <v>7</v>
      </c>
      <c r="AK861" s="4">
        <v>7</v>
      </c>
      <c r="AL861" s="4">
        <v>3</v>
      </c>
      <c r="AM861" s="4">
        <v>3</v>
      </c>
      <c r="AN861" s="4">
        <v>0</v>
      </c>
      <c r="AO861" s="4">
        <v>0</v>
      </c>
      <c r="AP861" s="3" t="s">
        <v>61</v>
      </c>
      <c r="AQ861" s="3" t="s">
        <v>61</v>
      </c>
      <c r="AS861" s="6" t="str">
        <f>HYPERLINK("https://creighton-primo.hosted.exlibrisgroup.com/primo-explore/search?tab=default_tab&amp;search_scope=EVERYTHING&amp;vid=01CRU&amp;lang=en_US&amp;offset=0&amp;query=any,contains,991004299849702656","Catalog Record")</f>
        <v>Catalog Record</v>
      </c>
      <c r="AT861" s="6" t="str">
        <f>HYPERLINK("http://www.worldcat.org/oclc/2967756","WorldCat Record")</f>
        <v>WorldCat Record</v>
      </c>
      <c r="AU861" s="3" t="s">
        <v>9513</v>
      </c>
      <c r="AV861" s="3" t="s">
        <v>9514</v>
      </c>
      <c r="AW861" s="3" t="s">
        <v>9515</v>
      </c>
      <c r="AX861" s="3" t="s">
        <v>9515</v>
      </c>
      <c r="AY861" s="3" t="s">
        <v>9516</v>
      </c>
      <c r="AZ861" s="3" t="s">
        <v>75</v>
      </c>
      <c r="BB861" s="3" t="s">
        <v>9517</v>
      </c>
      <c r="BC861" s="3" t="s">
        <v>9518</v>
      </c>
      <c r="BD861" s="3" t="s">
        <v>9519</v>
      </c>
    </row>
    <row r="862" spans="1:56" ht="44.25" customHeight="1" x14ac:dyDescent="0.25">
      <c r="A862" s="7" t="s">
        <v>61</v>
      </c>
      <c r="B862" s="2" t="s">
        <v>9520</v>
      </c>
      <c r="C862" s="2" t="s">
        <v>9521</v>
      </c>
      <c r="D862" s="2" t="s">
        <v>9522</v>
      </c>
      <c r="F862" s="3" t="s">
        <v>61</v>
      </c>
      <c r="G862" s="3" t="s">
        <v>60</v>
      </c>
      <c r="H862" s="3" t="s">
        <v>61</v>
      </c>
      <c r="I862" s="3" t="s">
        <v>61</v>
      </c>
      <c r="J862" s="3" t="s">
        <v>62</v>
      </c>
      <c r="K862" s="2" t="s">
        <v>9523</v>
      </c>
      <c r="L862" s="2" t="s">
        <v>9524</v>
      </c>
      <c r="M862" s="3" t="s">
        <v>291</v>
      </c>
      <c r="O862" s="3" t="s">
        <v>114</v>
      </c>
      <c r="P862" s="3" t="s">
        <v>2432</v>
      </c>
      <c r="Q862" s="2" t="s">
        <v>9525</v>
      </c>
      <c r="R862" s="3" t="s">
        <v>68</v>
      </c>
      <c r="S862" s="4">
        <v>2</v>
      </c>
      <c r="T862" s="4">
        <v>2</v>
      </c>
      <c r="U862" s="5" t="s">
        <v>9526</v>
      </c>
      <c r="V862" s="5" t="s">
        <v>9526</v>
      </c>
      <c r="W862" s="5" t="s">
        <v>8774</v>
      </c>
      <c r="X862" s="5" t="s">
        <v>8774</v>
      </c>
      <c r="Y862" s="4">
        <v>237</v>
      </c>
      <c r="Z862" s="4">
        <v>193</v>
      </c>
      <c r="AA862" s="4">
        <v>195</v>
      </c>
      <c r="AB862" s="4">
        <v>3</v>
      </c>
      <c r="AC862" s="4">
        <v>3</v>
      </c>
      <c r="AD862" s="4">
        <v>13</v>
      </c>
      <c r="AE862" s="4">
        <v>13</v>
      </c>
      <c r="AF862" s="4">
        <v>5</v>
      </c>
      <c r="AG862" s="4">
        <v>5</v>
      </c>
      <c r="AH862" s="4">
        <v>2</v>
      </c>
      <c r="AI862" s="4">
        <v>2</v>
      </c>
      <c r="AJ862" s="4">
        <v>7</v>
      </c>
      <c r="AK862" s="4">
        <v>7</v>
      </c>
      <c r="AL862" s="4">
        <v>2</v>
      </c>
      <c r="AM862" s="4">
        <v>2</v>
      </c>
      <c r="AN862" s="4">
        <v>0</v>
      </c>
      <c r="AO862" s="4">
        <v>0</v>
      </c>
      <c r="AP862" s="3" t="s">
        <v>61</v>
      </c>
      <c r="AQ862" s="3" t="s">
        <v>59</v>
      </c>
      <c r="AR862" s="6" t="str">
        <f>HYPERLINK("http://catalog.hathitrust.org/Record/000746689","HathiTrust Record")</f>
        <v>HathiTrust Record</v>
      </c>
      <c r="AS862" s="6" t="str">
        <f>HYPERLINK("https://creighton-primo.hosted.exlibrisgroup.com/primo-explore/search?tab=default_tab&amp;search_scope=EVERYTHING&amp;vid=01CRU&amp;lang=en_US&amp;offset=0&amp;query=any,contains,991005104029702656","Catalog Record")</f>
        <v>Catalog Record</v>
      </c>
      <c r="AT862" s="6" t="str">
        <f>HYPERLINK("http://www.worldcat.org/oclc/7314558","WorldCat Record")</f>
        <v>WorldCat Record</v>
      </c>
      <c r="AU862" s="3" t="s">
        <v>9527</v>
      </c>
      <c r="AV862" s="3" t="s">
        <v>9528</v>
      </c>
      <c r="AW862" s="3" t="s">
        <v>9529</v>
      </c>
      <c r="AX862" s="3" t="s">
        <v>9529</v>
      </c>
      <c r="AY862" s="3" t="s">
        <v>9530</v>
      </c>
      <c r="AZ862" s="3" t="s">
        <v>75</v>
      </c>
      <c r="BB862" s="3" t="s">
        <v>9531</v>
      </c>
      <c r="BC862" s="3" t="s">
        <v>9532</v>
      </c>
      <c r="BD862" s="3" t="s">
        <v>9533</v>
      </c>
    </row>
    <row r="863" spans="1:56" ht="44.25" customHeight="1" x14ac:dyDescent="0.25">
      <c r="A863" s="7" t="s">
        <v>61</v>
      </c>
      <c r="B863" s="2" t="s">
        <v>9534</v>
      </c>
      <c r="C863" s="2" t="s">
        <v>9535</v>
      </c>
      <c r="D863" s="2" t="s">
        <v>9536</v>
      </c>
      <c r="F863" s="3" t="s">
        <v>61</v>
      </c>
      <c r="G863" s="3" t="s">
        <v>60</v>
      </c>
      <c r="H863" s="3" t="s">
        <v>61</v>
      </c>
      <c r="I863" s="3" t="s">
        <v>61</v>
      </c>
      <c r="J863" s="3" t="s">
        <v>62</v>
      </c>
      <c r="K863" s="2" t="s">
        <v>9537</v>
      </c>
      <c r="L863" s="2" t="s">
        <v>9538</v>
      </c>
      <c r="M863" s="3" t="s">
        <v>755</v>
      </c>
      <c r="O863" s="3" t="s">
        <v>114</v>
      </c>
      <c r="P863" s="3" t="s">
        <v>649</v>
      </c>
      <c r="R863" s="3" t="s">
        <v>68</v>
      </c>
      <c r="S863" s="4">
        <v>10</v>
      </c>
      <c r="T863" s="4">
        <v>10</v>
      </c>
      <c r="U863" s="5" t="s">
        <v>9356</v>
      </c>
      <c r="V863" s="5" t="s">
        <v>9356</v>
      </c>
      <c r="W863" s="5" t="s">
        <v>9539</v>
      </c>
      <c r="X863" s="5" t="s">
        <v>9539</v>
      </c>
      <c r="Y863" s="4">
        <v>237</v>
      </c>
      <c r="Z863" s="4">
        <v>218</v>
      </c>
      <c r="AA863" s="4">
        <v>495</v>
      </c>
      <c r="AB863" s="4">
        <v>4</v>
      </c>
      <c r="AC863" s="4">
        <v>5</v>
      </c>
      <c r="AD863" s="4">
        <v>10</v>
      </c>
      <c r="AE863" s="4">
        <v>19</v>
      </c>
      <c r="AF863" s="4">
        <v>3</v>
      </c>
      <c r="AG863" s="4">
        <v>7</v>
      </c>
      <c r="AH863" s="4">
        <v>2</v>
      </c>
      <c r="AI863" s="4">
        <v>4</v>
      </c>
      <c r="AJ863" s="4">
        <v>5</v>
      </c>
      <c r="AK863" s="4">
        <v>8</v>
      </c>
      <c r="AL863" s="4">
        <v>3</v>
      </c>
      <c r="AM863" s="4">
        <v>4</v>
      </c>
      <c r="AN863" s="4">
        <v>0</v>
      </c>
      <c r="AO863" s="4">
        <v>0</v>
      </c>
      <c r="AP863" s="3" t="s">
        <v>61</v>
      </c>
      <c r="AQ863" s="3" t="s">
        <v>59</v>
      </c>
      <c r="AR863" s="6" t="str">
        <f>HYPERLINK("http://catalog.hathitrust.org/Record/004403824","HathiTrust Record")</f>
        <v>HathiTrust Record</v>
      </c>
      <c r="AS863" s="6" t="str">
        <f>HYPERLINK("https://creighton-primo.hosted.exlibrisgroup.com/primo-explore/search?tab=default_tab&amp;search_scope=EVERYTHING&amp;vid=01CRU&amp;lang=en_US&amp;offset=0&amp;query=any,contains,991001275729702656","Catalog Record")</f>
        <v>Catalog Record</v>
      </c>
      <c r="AT863" s="6" t="str">
        <f>HYPERLINK("http://www.worldcat.org/oclc/214527","WorldCat Record")</f>
        <v>WorldCat Record</v>
      </c>
      <c r="AU863" s="3" t="s">
        <v>9540</v>
      </c>
      <c r="AV863" s="3" t="s">
        <v>9541</v>
      </c>
      <c r="AW863" s="3" t="s">
        <v>9542</v>
      </c>
      <c r="AX863" s="3" t="s">
        <v>9542</v>
      </c>
      <c r="AY863" s="3" t="s">
        <v>9543</v>
      </c>
      <c r="AZ863" s="3" t="s">
        <v>75</v>
      </c>
      <c r="BB863" s="3" t="s">
        <v>9544</v>
      </c>
      <c r="BC863" s="3" t="s">
        <v>9545</v>
      </c>
      <c r="BD863" s="3" t="s">
        <v>9546</v>
      </c>
    </row>
    <row r="864" spans="1:56" ht="44.25" customHeight="1" x14ac:dyDescent="0.25">
      <c r="A864" s="7" t="s">
        <v>61</v>
      </c>
      <c r="B864" s="2" t="s">
        <v>9547</v>
      </c>
      <c r="C864" s="2" t="s">
        <v>9548</v>
      </c>
      <c r="D864" s="2" t="s">
        <v>9549</v>
      </c>
      <c r="F864" s="3" t="s">
        <v>61</v>
      </c>
      <c r="G864" s="3" t="s">
        <v>60</v>
      </c>
      <c r="H864" s="3" t="s">
        <v>61</v>
      </c>
      <c r="I864" s="3" t="s">
        <v>61</v>
      </c>
      <c r="J864" s="3" t="s">
        <v>62</v>
      </c>
      <c r="K864" s="2" t="s">
        <v>9550</v>
      </c>
      <c r="L864" s="2" t="s">
        <v>9551</v>
      </c>
      <c r="M864" s="3" t="s">
        <v>2281</v>
      </c>
      <c r="O864" s="3" t="s">
        <v>114</v>
      </c>
      <c r="P864" s="3" t="s">
        <v>2553</v>
      </c>
      <c r="R864" s="3" t="s">
        <v>68</v>
      </c>
      <c r="S864" s="4">
        <v>2</v>
      </c>
      <c r="T864" s="4">
        <v>2</v>
      </c>
      <c r="U864" s="5" t="s">
        <v>5871</v>
      </c>
      <c r="V864" s="5" t="s">
        <v>5871</v>
      </c>
      <c r="W864" s="5" t="s">
        <v>8668</v>
      </c>
      <c r="X864" s="5" t="s">
        <v>8668</v>
      </c>
      <c r="Y864" s="4">
        <v>871</v>
      </c>
      <c r="Z864" s="4">
        <v>755</v>
      </c>
      <c r="AA864" s="4">
        <v>761</v>
      </c>
      <c r="AB864" s="4">
        <v>6</v>
      </c>
      <c r="AC864" s="4">
        <v>6</v>
      </c>
      <c r="AD864" s="4">
        <v>40</v>
      </c>
      <c r="AE864" s="4">
        <v>40</v>
      </c>
      <c r="AF864" s="4">
        <v>19</v>
      </c>
      <c r="AG864" s="4">
        <v>19</v>
      </c>
      <c r="AH864" s="4">
        <v>10</v>
      </c>
      <c r="AI864" s="4">
        <v>10</v>
      </c>
      <c r="AJ864" s="4">
        <v>20</v>
      </c>
      <c r="AK864" s="4">
        <v>20</v>
      </c>
      <c r="AL864" s="4">
        <v>5</v>
      </c>
      <c r="AM864" s="4">
        <v>5</v>
      </c>
      <c r="AN864" s="4">
        <v>0</v>
      </c>
      <c r="AO864" s="4">
        <v>0</v>
      </c>
      <c r="AP864" s="3" t="s">
        <v>61</v>
      </c>
      <c r="AQ864" s="3" t="s">
        <v>59</v>
      </c>
      <c r="AR864" s="6" t="str">
        <f>HYPERLINK("http://catalog.hathitrust.org/Record/000293899","HathiTrust Record")</f>
        <v>HathiTrust Record</v>
      </c>
      <c r="AS864" s="6" t="str">
        <f>HYPERLINK("https://creighton-primo.hosted.exlibrisgroup.com/primo-explore/search?tab=default_tab&amp;search_scope=EVERYTHING&amp;vid=01CRU&amp;lang=en_US&amp;offset=0&amp;query=any,contains,991004367119702656","Catalog Record")</f>
        <v>Catalog Record</v>
      </c>
      <c r="AT864" s="6" t="str">
        <f>HYPERLINK("http://www.worldcat.org/oclc/3173345","WorldCat Record")</f>
        <v>WorldCat Record</v>
      </c>
      <c r="AU864" s="3" t="s">
        <v>9552</v>
      </c>
      <c r="AV864" s="3" t="s">
        <v>9553</v>
      </c>
      <c r="AW864" s="3" t="s">
        <v>9554</v>
      </c>
      <c r="AX864" s="3" t="s">
        <v>9554</v>
      </c>
      <c r="AY864" s="3" t="s">
        <v>9555</v>
      </c>
      <c r="AZ864" s="3" t="s">
        <v>75</v>
      </c>
      <c r="BB864" s="3" t="s">
        <v>9556</v>
      </c>
      <c r="BC864" s="3" t="s">
        <v>9557</v>
      </c>
      <c r="BD864" s="3" t="s">
        <v>9558</v>
      </c>
    </row>
    <row r="865" spans="1:56" ht="44.25" customHeight="1" x14ac:dyDescent="0.25">
      <c r="A865" s="7" t="s">
        <v>61</v>
      </c>
      <c r="B865" s="2" t="s">
        <v>9559</v>
      </c>
      <c r="C865" s="2" t="s">
        <v>9560</v>
      </c>
      <c r="D865" s="2" t="s">
        <v>9561</v>
      </c>
      <c r="F865" s="3" t="s">
        <v>61</v>
      </c>
      <c r="G865" s="3" t="s">
        <v>60</v>
      </c>
      <c r="H865" s="3" t="s">
        <v>61</v>
      </c>
      <c r="I865" s="3" t="s">
        <v>61</v>
      </c>
      <c r="J865" s="3" t="s">
        <v>62</v>
      </c>
      <c r="K865" s="2" t="s">
        <v>9562</v>
      </c>
      <c r="L865" s="2" t="s">
        <v>9563</v>
      </c>
      <c r="M865" s="3" t="s">
        <v>1319</v>
      </c>
      <c r="O865" s="3" t="s">
        <v>114</v>
      </c>
      <c r="P865" s="3" t="s">
        <v>235</v>
      </c>
      <c r="Q865" s="2" t="s">
        <v>9564</v>
      </c>
      <c r="R865" s="3" t="s">
        <v>68</v>
      </c>
      <c r="S865" s="4">
        <v>7</v>
      </c>
      <c r="T865" s="4">
        <v>7</v>
      </c>
      <c r="U865" s="5" t="s">
        <v>193</v>
      </c>
      <c r="V865" s="5" t="s">
        <v>193</v>
      </c>
      <c r="W865" s="5" t="s">
        <v>7300</v>
      </c>
      <c r="X865" s="5" t="s">
        <v>7300</v>
      </c>
      <c r="Y865" s="4">
        <v>682</v>
      </c>
      <c r="Z865" s="4">
        <v>643</v>
      </c>
      <c r="AA865" s="4">
        <v>875</v>
      </c>
      <c r="AB865" s="4">
        <v>3</v>
      </c>
      <c r="AC865" s="4">
        <v>4</v>
      </c>
      <c r="AD865" s="4">
        <v>25</v>
      </c>
      <c r="AE865" s="4">
        <v>29</v>
      </c>
      <c r="AF865" s="4">
        <v>11</v>
      </c>
      <c r="AG865" s="4">
        <v>12</v>
      </c>
      <c r="AH865" s="4">
        <v>7</v>
      </c>
      <c r="AI865" s="4">
        <v>7</v>
      </c>
      <c r="AJ865" s="4">
        <v>11</v>
      </c>
      <c r="AK865" s="4">
        <v>14</v>
      </c>
      <c r="AL865" s="4">
        <v>2</v>
      </c>
      <c r="AM865" s="4">
        <v>3</v>
      </c>
      <c r="AN865" s="4">
        <v>0</v>
      </c>
      <c r="AO865" s="4">
        <v>0</v>
      </c>
      <c r="AP865" s="3" t="s">
        <v>61</v>
      </c>
      <c r="AQ865" s="3" t="s">
        <v>61</v>
      </c>
      <c r="AS865" s="6" t="str">
        <f>HYPERLINK("https://creighton-primo.hosted.exlibrisgroup.com/primo-explore/search?tab=default_tab&amp;search_scope=EVERYTHING&amp;vid=01CRU&amp;lang=en_US&amp;offset=0&amp;query=any,contains,991002205069702656","Catalog Record")</f>
        <v>Catalog Record</v>
      </c>
      <c r="AT865" s="6" t="str">
        <f>HYPERLINK("http://www.worldcat.org/oclc/285524","WorldCat Record")</f>
        <v>WorldCat Record</v>
      </c>
      <c r="AU865" s="3" t="s">
        <v>9565</v>
      </c>
      <c r="AV865" s="3" t="s">
        <v>9566</v>
      </c>
      <c r="AW865" s="3" t="s">
        <v>9567</v>
      </c>
      <c r="AX865" s="3" t="s">
        <v>9567</v>
      </c>
      <c r="AY865" s="3" t="s">
        <v>9568</v>
      </c>
      <c r="AZ865" s="3" t="s">
        <v>75</v>
      </c>
      <c r="BC865" s="3" t="s">
        <v>9569</v>
      </c>
      <c r="BD865" s="3" t="s">
        <v>9570</v>
      </c>
    </row>
    <row r="866" spans="1:56" ht="44.25" customHeight="1" x14ac:dyDescent="0.25">
      <c r="A866" s="7" t="s">
        <v>61</v>
      </c>
      <c r="B866" s="2" t="s">
        <v>9571</v>
      </c>
      <c r="C866" s="2" t="s">
        <v>9572</v>
      </c>
      <c r="D866" s="2" t="s">
        <v>9573</v>
      </c>
      <c r="F866" s="3" t="s">
        <v>61</v>
      </c>
      <c r="G866" s="3" t="s">
        <v>60</v>
      </c>
      <c r="H866" s="3" t="s">
        <v>61</v>
      </c>
      <c r="I866" s="3" t="s">
        <v>61</v>
      </c>
      <c r="J866" s="3" t="s">
        <v>62</v>
      </c>
      <c r="K866" s="2" t="s">
        <v>9574</v>
      </c>
      <c r="L866" s="2" t="s">
        <v>9575</v>
      </c>
      <c r="M866" s="3" t="s">
        <v>407</v>
      </c>
      <c r="O866" s="3" t="s">
        <v>114</v>
      </c>
      <c r="P866" s="3" t="s">
        <v>192</v>
      </c>
      <c r="R866" s="3" t="s">
        <v>68</v>
      </c>
      <c r="S866" s="4">
        <v>6</v>
      </c>
      <c r="T866" s="4">
        <v>6</v>
      </c>
      <c r="U866" s="5" t="s">
        <v>8374</v>
      </c>
      <c r="V866" s="5" t="s">
        <v>8374</v>
      </c>
      <c r="W866" s="5" t="s">
        <v>9576</v>
      </c>
      <c r="X866" s="5" t="s">
        <v>9576</v>
      </c>
      <c r="Y866" s="4">
        <v>1042</v>
      </c>
      <c r="Z866" s="4">
        <v>823</v>
      </c>
      <c r="AA866" s="4">
        <v>891</v>
      </c>
      <c r="AB866" s="4">
        <v>9</v>
      </c>
      <c r="AC866" s="4">
        <v>9</v>
      </c>
      <c r="AD866" s="4">
        <v>39</v>
      </c>
      <c r="AE866" s="4">
        <v>40</v>
      </c>
      <c r="AF866" s="4">
        <v>15</v>
      </c>
      <c r="AG866" s="4">
        <v>15</v>
      </c>
      <c r="AH866" s="4">
        <v>8</v>
      </c>
      <c r="AI866" s="4">
        <v>8</v>
      </c>
      <c r="AJ866" s="4">
        <v>19</v>
      </c>
      <c r="AK866" s="4">
        <v>20</v>
      </c>
      <c r="AL866" s="4">
        <v>7</v>
      </c>
      <c r="AM866" s="4">
        <v>7</v>
      </c>
      <c r="AN866" s="4">
        <v>0</v>
      </c>
      <c r="AO866" s="4">
        <v>0</v>
      </c>
      <c r="AP866" s="3" t="s">
        <v>61</v>
      </c>
      <c r="AQ866" s="3" t="s">
        <v>61</v>
      </c>
      <c r="AS866" s="6" t="str">
        <f>HYPERLINK("https://creighton-primo.hosted.exlibrisgroup.com/primo-explore/search?tab=default_tab&amp;search_scope=EVERYTHING&amp;vid=01CRU&amp;lang=en_US&amp;offset=0&amp;query=any,contains,991002380569702656","Catalog Record")</f>
        <v>Catalog Record</v>
      </c>
      <c r="AT866" s="6" t="str">
        <f>HYPERLINK("http://www.worldcat.org/oclc/30919782","WorldCat Record")</f>
        <v>WorldCat Record</v>
      </c>
      <c r="AU866" s="3" t="s">
        <v>9577</v>
      </c>
      <c r="AV866" s="3" t="s">
        <v>9578</v>
      </c>
      <c r="AW866" s="3" t="s">
        <v>9579</v>
      </c>
      <c r="AX866" s="3" t="s">
        <v>9579</v>
      </c>
      <c r="AY866" s="3" t="s">
        <v>9580</v>
      </c>
      <c r="AZ866" s="3" t="s">
        <v>75</v>
      </c>
      <c r="BB866" s="3" t="s">
        <v>9581</v>
      </c>
      <c r="BC866" s="3" t="s">
        <v>9582</v>
      </c>
      <c r="BD866" s="3" t="s">
        <v>9583</v>
      </c>
    </row>
    <row r="867" spans="1:56" ht="44.25" customHeight="1" x14ac:dyDescent="0.25">
      <c r="A867" s="7" t="s">
        <v>61</v>
      </c>
      <c r="B867" s="2" t="s">
        <v>9584</v>
      </c>
      <c r="C867" s="2" t="s">
        <v>9585</v>
      </c>
      <c r="D867" s="2" t="s">
        <v>9586</v>
      </c>
      <c r="F867" s="3" t="s">
        <v>61</v>
      </c>
      <c r="G867" s="3" t="s">
        <v>60</v>
      </c>
      <c r="H867" s="3" t="s">
        <v>61</v>
      </c>
      <c r="I867" s="3" t="s">
        <v>61</v>
      </c>
      <c r="J867" s="3" t="s">
        <v>62</v>
      </c>
      <c r="K867" s="2" t="s">
        <v>9574</v>
      </c>
      <c r="L867" s="2" t="s">
        <v>9587</v>
      </c>
      <c r="M867" s="3" t="s">
        <v>1758</v>
      </c>
      <c r="O867" s="3" t="s">
        <v>114</v>
      </c>
      <c r="P867" s="3" t="s">
        <v>115</v>
      </c>
      <c r="Q867" s="2" t="s">
        <v>9588</v>
      </c>
      <c r="R867" s="3" t="s">
        <v>68</v>
      </c>
      <c r="S867" s="4">
        <v>3</v>
      </c>
      <c r="T867" s="4">
        <v>3</v>
      </c>
      <c r="U867" s="5" t="s">
        <v>9589</v>
      </c>
      <c r="V867" s="5" t="s">
        <v>9589</v>
      </c>
      <c r="W867" s="5" t="s">
        <v>9590</v>
      </c>
      <c r="X867" s="5" t="s">
        <v>9590</v>
      </c>
      <c r="Y867" s="4">
        <v>668</v>
      </c>
      <c r="Z867" s="4">
        <v>574</v>
      </c>
      <c r="AA867" s="4">
        <v>577</v>
      </c>
      <c r="AB867" s="4">
        <v>3</v>
      </c>
      <c r="AC867" s="4">
        <v>3</v>
      </c>
      <c r="AD867" s="4">
        <v>28</v>
      </c>
      <c r="AE867" s="4">
        <v>28</v>
      </c>
      <c r="AF867" s="4">
        <v>12</v>
      </c>
      <c r="AG867" s="4">
        <v>12</v>
      </c>
      <c r="AH867" s="4">
        <v>7</v>
      </c>
      <c r="AI867" s="4">
        <v>7</v>
      </c>
      <c r="AJ867" s="4">
        <v>17</v>
      </c>
      <c r="AK867" s="4">
        <v>17</v>
      </c>
      <c r="AL867" s="4">
        <v>2</v>
      </c>
      <c r="AM867" s="4">
        <v>2</v>
      </c>
      <c r="AN867" s="4">
        <v>0</v>
      </c>
      <c r="AO867" s="4">
        <v>0</v>
      </c>
      <c r="AP867" s="3" t="s">
        <v>61</v>
      </c>
      <c r="AQ867" s="3" t="s">
        <v>59</v>
      </c>
      <c r="AR867" s="6" t="str">
        <f>HYPERLINK("http://catalog.hathitrust.org/Record/000304749","HathiTrust Record")</f>
        <v>HathiTrust Record</v>
      </c>
      <c r="AS867" s="6" t="str">
        <f>HYPERLINK("https://creighton-primo.hosted.exlibrisgroup.com/primo-explore/search?tab=default_tab&amp;search_scope=EVERYTHING&amp;vid=01CRU&amp;lang=en_US&amp;offset=0&amp;query=any,contains,991005167069702656","Catalog Record")</f>
        <v>Catalog Record</v>
      </c>
      <c r="AT867" s="6" t="str">
        <f>HYPERLINK("http://www.worldcat.org/oclc/7836282","WorldCat Record")</f>
        <v>WorldCat Record</v>
      </c>
      <c r="AU867" s="3" t="s">
        <v>9591</v>
      </c>
      <c r="AV867" s="3" t="s">
        <v>9592</v>
      </c>
      <c r="AW867" s="3" t="s">
        <v>9593</v>
      </c>
      <c r="AX867" s="3" t="s">
        <v>9593</v>
      </c>
      <c r="AY867" s="3" t="s">
        <v>9594</v>
      </c>
      <c r="AZ867" s="3" t="s">
        <v>75</v>
      </c>
      <c r="BB867" s="3" t="s">
        <v>9595</v>
      </c>
      <c r="BC867" s="3" t="s">
        <v>9596</v>
      </c>
      <c r="BD867" s="3" t="s">
        <v>9597</v>
      </c>
    </row>
    <row r="868" spans="1:56" ht="44.25" customHeight="1" x14ac:dyDescent="0.25">
      <c r="A868" s="7" t="s">
        <v>61</v>
      </c>
      <c r="B868" s="2" t="s">
        <v>9598</v>
      </c>
      <c r="C868" s="2" t="s">
        <v>9599</v>
      </c>
      <c r="D868" s="2" t="s">
        <v>9600</v>
      </c>
      <c r="F868" s="3" t="s">
        <v>61</v>
      </c>
      <c r="G868" s="3" t="s">
        <v>60</v>
      </c>
      <c r="H868" s="3" t="s">
        <v>61</v>
      </c>
      <c r="I868" s="3" t="s">
        <v>61</v>
      </c>
      <c r="J868" s="3" t="s">
        <v>62</v>
      </c>
      <c r="K868" s="2" t="s">
        <v>9601</v>
      </c>
      <c r="L868" s="2" t="s">
        <v>9602</v>
      </c>
      <c r="M868" s="3" t="s">
        <v>205</v>
      </c>
      <c r="O868" s="3" t="s">
        <v>114</v>
      </c>
      <c r="P868" s="3" t="s">
        <v>235</v>
      </c>
      <c r="R868" s="3" t="s">
        <v>68</v>
      </c>
      <c r="S868" s="4">
        <v>11</v>
      </c>
      <c r="T868" s="4">
        <v>11</v>
      </c>
      <c r="U868" s="5" t="s">
        <v>9603</v>
      </c>
      <c r="V868" s="5" t="s">
        <v>9603</v>
      </c>
      <c r="W868" s="5" t="s">
        <v>117</v>
      </c>
      <c r="X868" s="5" t="s">
        <v>117</v>
      </c>
      <c r="Y868" s="4">
        <v>461</v>
      </c>
      <c r="Z868" s="4">
        <v>422</v>
      </c>
      <c r="AA868" s="4">
        <v>521</v>
      </c>
      <c r="AB868" s="4">
        <v>2</v>
      </c>
      <c r="AC868" s="4">
        <v>4</v>
      </c>
      <c r="AD868" s="4">
        <v>8</v>
      </c>
      <c r="AE868" s="4">
        <v>10</v>
      </c>
      <c r="AF868" s="4">
        <v>4</v>
      </c>
      <c r="AG868" s="4">
        <v>4</v>
      </c>
      <c r="AH868" s="4">
        <v>2</v>
      </c>
      <c r="AI868" s="4">
        <v>3</v>
      </c>
      <c r="AJ868" s="4">
        <v>5</v>
      </c>
      <c r="AK868" s="4">
        <v>6</v>
      </c>
      <c r="AL868" s="4">
        <v>1</v>
      </c>
      <c r="AM868" s="4">
        <v>2</v>
      </c>
      <c r="AN868" s="4">
        <v>0</v>
      </c>
      <c r="AO868" s="4">
        <v>0</v>
      </c>
      <c r="AP868" s="3" t="s">
        <v>61</v>
      </c>
      <c r="AQ868" s="3" t="s">
        <v>61</v>
      </c>
      <c r="AS868" s="6" t="str">
        <f>HYPERLINK("https://creighton-primo.hosted.exlibrisgroup.com/primo-explore/search?tab=default_tab&amp;search_scope=EVERYTHING&amp;vid=01CRU&amp;lang=en_US&amp;offset=0&amp;query=any,contains,991000298599702656","Catalog Record")</f>
        <v>Catalog Record</v>
      </c>
      <c r="AT868" s="6" t="str">
        <f>HYPERLINK("http://www.worldcat.org/oclc/10019680","WorldCat Record")</f>
        <v>WorldCat Record</v>
      </c>
      <c r="AU868" s="3" t="s">
        <v>9604</v>
      </c>
      <c r="AV868" s="3" t="s">
        <v>9605</v>
      </c>
      <c r="AW868" s="3" t="s">
        <v>9606</v>
      </c>
      <c r="AX868" s="3" t="s">
        <v>9606</v>
      </c>
      <c r="AY868" s="3" t="s">
        <v>9607</v>
      </c>
      <c r="AZ868" s="3" t="s">
        <v>75</v>
      </c>
      <c r="BB868" s="3" t="s">
        <v>9608</v>
      </c>
      <c r="BC868" s="3" t="s">
        <v>9609</v>
      </c>
      <c r="BD868" s="3" t="s">
        <v>9610</v>
      </c>
    </row>
    <row r="869" spans="1:56" ht="44.25" customHeight="1" x14ac:dyDescent="0.25">
      <c r="A869" s="7" t="s">
        <v>61</v>
      </c>
      <c r="B869" s="2" t="s">
        <v>9611</v>
      </c>
      <c r="C869" s="2" t="s">
        <v>9612</v>
      </c>
      <c r="D869" s="2" t="s">
        <v>9613</v>
      </c>
      <c r="F869" s="3" t="s">
        <v>61</v>
      </c>
      <c r="G869" s="3" t="s">
        <v>60</v>
      </c>
      <c r="H869" s="3" t="s">
        <v>61</v>
      </c>
      <c r="I869" s="3" t="s">
        <v>61</v>
      </c>
      <c r="J869" s="3" t="s">
        <v>62</v>
      </c>
      <c r="K869" s="2" t="s">
        <v>9614</v>
      </c>
      <c r="L869" s="2" t="s">
        <v>9615</v>
      </c>
      <c r="M869" s="3" t="s">
        <v>2281</v>
      </c>
      <c r="O869" s="3" t="s">
        <v>114</v>
      </c>
      <c r="P869" s="3" t="s">
        <v>1114</v>
      </c>
      <c r="R869" s="3" t="s">
        <v>68</v>
      </c>
      <c r="S869" s="4">
        <v>1</v>
      </c>
      <c r="T869" s="4">
        <v>1</v>
      </c>
      <c r="U869" s="5" t="s">
        <v>7182</v>
      </c>
      <c r="V869" s="5" t="s">
        <v>7182</v>
      </c>
      <c r="W869" s="5" t="s">
        <v>8668</v>
      </c>
      <c r="X869" s="5" t="s">
        <v>8668</v>
      </c>
      <c r="Y869" s="4">
        <v>944</v>
      </c>
      <c r="Z869" s="4">
        <v>816</v>
      </c>
      <c r="AA869" s="4">
        <v>1081</v>
      </c>
      <c r="AB869" s="4">
        <v>9</v>
      </c>
      <c r="AC869" s="4">
        <v>10</v>
      </c>
      <c r="AD869" s="4">
        <v>29</v>
      </c>
      <c r="AE869" s="4">
        <v>41</v>
      </c>
      <c r="AF869" s="4">
        <v>8</v>
      </c>
      <c r="AG869" s="4">
        <v>18</v>
      </c>
      <c r="AH869" s="4">
        <v>9</v>
      </c>
      <c r="AI869" s="4">
        <v>11</v>
      </c>
      <c r="AJ869" s="4">
        <v>14</v>
      </c>
      <c r="AK869" s="4">
        <v>19</v>
      </c>
      <c r="AL869" s="4">
        <v>6</v>
      </c>
      <c r="AM869" s="4">
        <v>6</v>
      </c>
      <c r="AN869" s="4">
        <v>0</v>
      </c>
      <c r="AO869" s="4">
        <v>0</v>
      </c>
      <c r="AP869" s="3" t="s">
        <v>61</v>
      </c>
      <c r="AQ869" s="3" t="s">
        <v>61</v>
      </c>
      <c r="AS869" s="6" t="str">
        <f>HYPERLINK("https://creighton-primo.hosted.exlibrisgroup.com/primo-explore/search?tab=default_tab&amp;search_scope=EVERYTHING&amp;vid=01CRU&amp;lang=en_US&amp;offset=0&amp;query=any,contains,991004268259702656","Catalog Record")</f>
        <v>Catalog Record</v>
      </c>
      <c r="AT869" s="6" t="str">
        <f>HYPERLINK("http://www.worldcat.org/oclc/2873620","WorldCat Record")</f>
        <v>WorldCat Record</v>
      </c>
      <c r="AU869" s="3" t="s">
        <v>9616</v>
      </c>
      <c r="AV869" s="3" t="s">
        <v>9617</v>
      </c>
      <c r="AW869" s="3" t="s">
        <v>9618</v>
      </c>
      <c r="AX869" s="3" t="s">
        <v>9618</v>
      </c>
      <c r="AY869" s="3" t="s">
        <v>9619</v>
      </c>
      <c r="AZ869" s="3" t="s">
        <v>75</v>
      </c>
      <c r="BB869" s="3" t="s">
        <v>9620</v>
      </c>
      <c r="BC869" s="3" t="s">
        <v>9621</v>
      </c>
      <c r="BD869" s="3" t="s">
        <v>9622</v>
      </c>
    </row>
    <row r="870" spans="1:56" ht="44.25" customHeight="1" x14ac:dyDescent="0.25">
      <c r="A870" s="7" t="s">
        <v>61</v>
      </c>
      <c r="B870" s="2" t="s">
        <v>9623</v>
      </c>
      <c r="C870" s="2" t="s">
        <v>9624</v>
      </c>
      <c r="D870" s="2" t="s">
        <v>9625</v>
      </c>
      <c r="F870" s="3" t="s">
        <v>61</v>
      </c>
      <c r="G870" s="3" t="s">
        <v>60</v>
      </c>
      <c r="H870" s="3" t="s">
        <v>61</v>
      </c>
      <c r="I870" s="3" t="s">
        <v>61</v>
      </c>
      <c r="J870" s="3" t="s">
        <v>62</v>
      </c>
      <c r="K870" s="2" t="s">
        <v>9626</v>
      </c>
      <c r="L870" s="2" t="s">
        <v>9627</v>
      </c>
      <c r="M870" s="3" t="s">
        <v>1074</v>
      </c>
      <c r="O870" s="3" t="s">
        <v>114</v>
      </c>
      <c r="P870" s="3" t="s">
        <v>192</v>
      </c>
      <c r="R870" s="3" t="s">
        <v>68</v>
      </c>
      <c r="S870" s="4">
        <v>1</v>
      </c>
      <c r="T870" s="4">
        <v>1</v>
      </c>
      <c r="U870" s="5" t="s">
        <v>9628</v>
      </c>
      <c r="V870" s="5" t="s">
        <v>9628</v>
      </c>
      <c r="W870" s="5" t="s">
        <v>8774</v>
      </c>
      <c r="X870" s="5" t="s">
        <v>8774</v>
      </c>
      <c r="Y870" s="4">
        <v>170</v>
      </c>
      <c r="Z870" s="4">
        <v>67</v>
      </c>
      <c r="AA870" s="4">
        <v>68</v>
      </c>
      <c r="AB870" s="4">
        <v>3</v>
      </c>
      <c r="AC870" s="4">
        <v>3</v>
      </c>
      <c r="AD870" s="4">
        <v>2</v>
      </c>
      <c r="AE870" s="4">
        <v>2</v>
      </c>
      <c r="AF870" s="4">
        <v>0</v>
      </c>
      <c r="AG870" s="4">
        <v>0</v>
      </c>
      <c r="AH870" s="4">
        <v>0</v>
      </c>
      <c r="AI870" s="4">
        <v>0</v>
      </c>
      <c r="AJ870" s="4">
        <v>0</v>
      </c>
      <c r="AK870" s="4">
        <v>0</v>
      </c>
      <c r="AL870" s="4">
        <v>2</v>
      </c>
      <c r="AM870" s="4">
        <v>2</v>
      </c>
      <c r="AN870" s="4">
        <v>0</v>
      </c>
      <c r="AO870" s="4">
        <v>0</v>
      </c>
      <c r="AP870" s="3" t="s">
        <v>61</v>
      </c>
      <c r="AQ870" s="3" t="s">
        <v>59</v>
      </c>
      <c r="AR870" s="6" t="str">
        <f>HYPERLINK("http://catalog.hathitrust.org/Record/000659086","HathiTrust Record")</f>
        <v>HathiTrust Record</v>
      </c>
      <c r="AS870" s="6" t="str">
        <f>HYPERLINK("https://creighton-primo.hosted.exlibrisgroup.com/primo-explore/search?tab=default_tab&amp;search_scope=EVERYTHING&amp;vid=01CRU&amp;lang=en_US&amp;offset=0&amp;query=any,contains,991000744289702656","Catalog Record")</f>
        <v>Catalog Record</v>
      </c>
      <c r="AT870" s="6" t="str">
        <f>HYPERLINK("http://www.worldcat.org/oclc/16805946","WorldCat Record")</f>
        <v>WorldCat Record</v>
      </c>
      <c r="AU870" s="3" t="s">
        <v>9629</v>
      </c>
      <c r="AV870" s="3" t="s">
        <v>9630</v>
      </c>
      <c r="AW870" s="3" t="s">
        <v>9631</v>
      </c>
      <c r="AX870" s="3" t="s">
        <v>9631</v>
      </c>
      <c r="AY870" s="3" t="s">
        <v>9632</v>
      </c>
      <c r="AZ870" s="3" t="s">
        <v>75</v>
      </c>
      <c r="BB870" s="3" t="s">
        <v>9633</v>
      </c>
      <c r="BC870" s="3" t="s">
        <v>9634</v>
      </c>
      <c r="BD870" s="3" t="s">
        <v>9635</v>
      </c>
    </row>
    <row r="871" spans="1:56" ht="44.25" customHeight="1" x14ac:dyDescent="0.25">
      <c r="A871" s="7" t="s">
        <v>61</v>
      </c>
      <c r="B871" s="2" t="s">
        <v>9636</v>
      </c>
      <c r="C871" s="2" t="s">
        <v>9637</v>
      </c>
      <c r="D871" s="2" t="s">
        <v>9638</v>
      </c>
      <c r="F871" s="3" t="s">
        <v>61</v>
      </c>
      <c r="G871" s="3" t="s">
        <v>60</v>
      </c>
      <c r="H871" s="3" t="s">
        <v>61</v>
      </c>
      <c r="I871" s="3" t="s">
        <v>61</v>
      </c>
      <c r="J871" s="3" t="s">
        <v>62</v>
      </c>
      <c r="K871" s="2" t="s">
        <v>9639</v>
      </c>
      <c r="L871" s="2" t="s">
        <v>9640</v>
      </c>
      <c r="M871" s="3" t="s">
        <v>1376</v>
      </c>
      <c r="O871" s="3" t="s">
        <v>114</v>
      </c>
      <c r="P871" s="3" t="s">
        <v>235</v>
      </c>
      <c r="R871" s="3" t="s">
        <v>68</v>
      </c>
      <c r="S871" s="4">
        <v>1</v>
      </c>
      <c r="T871" s="4">
        <v>1</v>
      </c>
      <c r="U871" s="5" t="s">
        <v>9641</v>
      </c>
      <c r="V871" s="5" t="s">
        <v>9641</v>
      </c>
      <c r="W871" s="5" t="s">
        <v>9642</v>
      </c>
      <c r="X871" s="5" t="s">
        <v>9642</v>
      </c>
      <c r="Y871" s="4">
        <v>670</v>
      </c>
      <c r="Z871" s="4">
        <v>628</v>
      </c>
      <c r="AA871" s="4">
        <v>640</v>
      </c>
      <c r="AB871" s="4">
        <v>4</v>
      </c>
      <c r="AC871" s="4">
        <v>4</v>
      </c>
      <c r="AD871" s="4">
        <v>26</v>
      </c>
      <c r="AE871" s="4">
        <v>26</v>
      </c>
      <c r="AF871" s="4">
        <v>9</v>
      </c>
      <c r="AG871" s="4">
        <v>9</v>
      </c>
      <c r="AH871" s="4">
        <v>8</v>
      </c>
      <c r="AI871" s="4">
        <v>8</v>
      </c>
      <c r="AJ871" s="4">
        <v>13</v>
      </c>
      <c r="AK871" s="4">
        <v>13</v>
      </c>
      <c r="AL871" s="4">
        <v>3</v>
      </c>
      <c r="AM871" s="4">
        <v>3</v>
      </c>
      <c r="AN871" s="4">
        <v>0</v>
      </c>
      <c r="AO871" s="4">
        <v>0</v>
      </c>
      <c r="AP871" s="3" t="s">
        <v>61</v>
      </c>
      <c r="AQ871" s="3" t="s">
        <v>59</v>
      </c>
      <c r="AR871" s="6" t="str">
        <f>HYPERLINK("http://catalog.hathitrust.org/Record/000490574","HathiTrust Record")</f>
        <v>HathiTrust Record</v>
      </c>
      <c r="AS871" s="6" t="str">
        <f>HYPERLINK("https://creighton-primo.hosted.exlibrisgroup.com/primo-explore/search?tab=default_tab&amp;search_scope=EVERYTHING&amp;vid=01CRU&amp;lang=en_US&amp;offset=0&amp;query=any,contains,991005435599702656","Catalog Record")</f>
        <v>Catalog Record</v>
      </c>
      <c r="AT871" s="6" t="str">
        <f>HYPERLINK("http://www.worldcat.org/oclc/3748","WorldCat Record")</f>
        <v>WorldCat Record</v>
      </c>
      <c r="AU871" s="3" t="s">
        <v>9643</v>
      </c>
      <c r="AV871" s="3" t="s">
        <v>9644</v>
      </c>
      <c r="AW871" s="3" t="s">
        <v>9645</v>
      </c>
      <c r="AX871" s="3" t="s">
        <v>9645</v>
      </c>
      <c r="AY871" s="3" t="s">
        <v>9646</v>
      </c>
      <c r="AZ871" s="3" t="s">
        <v>75</v>
      </c>
      <c r="BB871" s="3" t="s">
        <v>9647</v>
      </c>
      <c r="BC871" s="3" t="s">
        <v>9648</v>
      </c>
      <c r="BD871" s="3" t="s">
        <v>9649</v>
      </c>
    </row>
    <row r="872" spans="1:56" ht="44.25" customHeight="1" x14ac:dyDescent="0.25">
      <c r="A872" s="7" t="s">
        <v>61</v>
      </c>
      <c r="B872" s="2" t="s">
        <v>9650</v>
      </c>
      <c r="C872" s="2" t="s">
        <v>9651</v>
      </c>
      <c r="D872" s="2" t="s">
        <v>9652</v>
      </c>
      <c r="F872" s="3" t="s">
        <v>61</v>
      </c>
      <c r="G872" s="3" t="s">
        <v>60</v>
      </c>
      <c r="H872" s="3" t="s">
        <v>61</v>
      </c>
      <c r="I872" s="3" t="s">
        <v>61</v>
      </c>
      <c r="J872" s="3" t="s">
        <v>62</v>
      </c>
      <c r="K872" s="2" t="s">
        <v>9653</v>
      </c>
      <c r="L872" s="2" t="s">
        <v>9654</v>
      </c>
      <c r="M872" s="3" t="s">
        <v>796</v>
      </c>
      <c r="O872" s="3" t="s">
        <v>114</v>
      </c>
      <c r="P872" s="3" t="s">
        <v>235</v>
      </c>
      <c r="Q872" s="2" t="s">
        <v>9655</v>
      </c>
      <c r="R872" s="3" t="s">
        <v>68</v>
      </c>
      <c r="S872" s="4">
        <v>5</v>
      </c>
      <c r="T872" s="4">
        <v>5</v>
      </c>
      <c r="U872" s="5" t="s">
        <v>8910</v>
      </c>
      <c r="V872" s="5" t="s">
        <v>8910</v>
      </c>
      <c r="W872" s="5" t="s">
        <v>9656</v>
      </c>
      <c r="X872" s="5" t="s">
        <v>9656</v>
      </c>
      <c r="Y872" s="4">
        <v>225</v>
      </c>
      <c r="Z872" s="4">
        <v>199</v>
      </c>
      <c r="AA872" s="4">
        <v>246</v>
      </c>
      <c r="AB872" s="4">
        <v>1</v>
      </c>
      <c r="AC872" s="4">
        <v>1</v>
      </c>
      <c r="AD872" s="4">
        <v>7</v>
      </c>
      <c r="AE872" s="4">
        <v>9</v>
      </c>
      <c r="AF872" s="4">
        <v>2</v>
      </c>
      <c r="AG872" s="4">
        <v>2</v>
      </c>
      <c r="AH872" s="4">
        <v>1</v>
      </c>
      <c r="AI872" s="4">
        <v>3</v>
      </c>
      <c r="AJ872" s="4">
        <v>6</v>
      </c>
      <c r="AK872" s="4">
        <v>8</v>
      </c>
      <c r="AL872" s="4">
        <v>0</v>
      </c>
      <c r="AM872" s="4">
        <v>0</v>
      </c>
      <c r="AN872" s="4">
        <v>0</v>
      </c>
      <c r="AO872" s="4">
        <v>0</v>
      </c>
      <c r="AP872" s="3" t="s">
        <v>61</v>
      </c>
      <c r="AQ872" s="3" t="s">
        <v>59</v>
      </c>
      <c r="AR872" s="6" t="str">
        <f>HYPERLINK("http://catalog.hathitrust.org/Record/007556723","HathiTrust Record")</f>
        <v>HathiTrust Record</v>
      </c>
      <c r="AS872" s="6" t="str">
        <f>HYPERLINK("https://creighton-primo.hosted.exlibrisgroup.com/primo-explore/search?tab=default_tab&amp;search_scope=EVERYTHING&amp;vid=01CRU&amp;lang=en_US&amp;offset=0&amp;query=any,contains,991001226089702656","Catalog Record")</f>
        <v>Catalog Record</v>
      </c>
      <c r="AT872" s="6" t="str">
        <f>HYPERLINK("http://www.worldcat.org/oclc/17507320","WorldCat Record")</f>
        <v>WorldCat Record</v>
      </c>
      <c r="AU872" s="3" t="s">
        <v>9657</v>
      </c>
      <c r="AV872" s="3" t="s">
        <v>9658</v>
      </c>
      <c r="AW872" s="3" t="s">
        <v>9659</v>
      </c>
      <c r="AX872" s="3" t="s">
        <v>9659</v>
      </c>
      <c r="AY872" s="3" t="s">
        <v>9660</v>
      </c>
      <c r="AZ872" s="3" t="s">
        <v>75</v>
      </c>
      <c r="BB872" s="3" t="s">
        <v>9661</v>
      </c>
      <c r="BC872" s="3" t="s">
        <v>9662</v>
      </c>
      <c r="BD872" s="3" t="s">
        <v>9663</v>
      </c>
    </row>
    <row r="873" spans="1:56" ht="44.25" customHeight="1" x14ac:dyDescent="0.25">
      <c r="A873" s="7" t="s">
        <v>61</v>
      </c>
      <c r="B873" s="2" t="s">
        <v>9664</v>
      </c>
      <c r="C873" s="2" t="s">
        <v>9665</v>
      </c>
      <c r="D873" s="2" t="s">
        <v>9666</v>
      </c>
      <c r="F873" s="3" t="s">
        <v>61</v>
      </c>
      <c r="G873" s="3" t="s">
        <v>60</v>
      </c>
      <c r="H873" s="3" t="s">
        <v>61</v>
      </c>
      <c r="I873" s="3" t="s">
        <v>61</v>
      </c>
      <c r="J873" s="3" t="s">
        <v>62</v>
      </c>
      <c r="K873" s="2" t="s">
        <v>9667</v>
      </c>
      <c r="L873" s="2" t="s">
        <v>1251</v>
      </c>
      <c r="M873" s="3" t="s">
        <v>350</v>
      </c>
      <c r="O873" s="3" t="s">
        <v>114</v>
      </c>
      <c r="P873" s="3" t="s">
        <v>649</v>
      </c>
      <c r="Q873" s="2" t="s">
        <v>9668</v>
      </c>
      <c r="R873" s="3" t="s">
        <v>68</v>
      </c>
      <c r="S873" s="4">
        <v>5</v>
      </c>
      <c r="T873" s="4">
        <v>5</v>
      </c>
      <c r="U873" s="5" t="s">
        <v>9641</v>
      </c>
      <c r="V873" s="5" t="s">
        <v>9641</v>
      </c>
      <c r="W873" s="5" t="s">
        <v>8774</v>
      </c>
      <c r="X873" s="5" t="s">
        <v>8774</v>
      </c>
      <c r="Y873" s="4">
        <v>561</v>
      </c>
      <c r="Z873" s="4">
        <v>439</v>
      </c>
      <c r="AA873" s="4">
        <v>456</v>
      </c>
      <c r="AB873" s="4">
        <v>5</v>
      </c>
      <c r="AC873" s="4">
        <v>5</v>
      </c>
      <c r="AD873" s="4">
        <v>21</v>
      </c>
      <c r="AE873" s="4">
        <v>21</v>
      </c>
      <c r="AF873" s="4">
        <v>9</v>
      </c>
      <c r="AG873" s="4">
        <v>9</v>
      </c>
      <c r="AH873" s="4">
        <v>6</v>
      </c>
      <c r="AI873" s="4">
        <v>6</v>
      </c>
      <c r="AJ873" s="4">
        <v>10</v>
      </c>
      <c r="AK873" s="4">
        <v>10</v>
      </c>
      <c r="AL873" s="4">
        <v>4</v>
      </c>
      <c r="AM873" s="4">
        <v>4</v>
      </c>
      <c r="AN873" s="4">
        <v>0</v>
      </c>
      <c r="AO873" s="4">
        <v>0</v>
      </c>
      <c r="AP873" s="3" t="s">
        <v>61</v>
      </c>
      <c r="AQ873" s="3" t="s">
        <v>59</v>
      </c>
      <c r="AR873" s="6" t="str">
        <f>HYPERLINK("http://catalog.hathitrust.org/Record/000028504","HathiTrust Record")</f>
        <v>HathiTrust Record</v>
      </c>
      <c r="AS873" s="6" t="str">
        <f>HYPERLINK("https://creighton-primo.hosted.exlibrisgroup.com/primo-explore/search?tab=default_tab&amp;search_scope=EVERYTHING&amp;vid=01CRU&amp;lang=en_US&amp;offset=0&amp;query=any,contains,991004780209702656","Catalog Record")</f>
        <v>Catalog Record</v>
      </c>
      <c r="AT873" s="6" t="str">
        <f>HYPERLINK("http://www.worldcat.org/oclc/5103351","WorldCat Record")</f>
        <v>WorldCat Record</v>
      </c>
      <c r="AU873" s="3" t="s">
        <v>9669</v>
      </c>
      <c r="AV873" s="3" t="s">
        <v>9670</v>
      </c>
      <c r="AW873" s="3" t="s">
        <v>9671</v>
      </c>
      <c r="AX873" s="3" t="s">
        <v>9671</v>
      </c>
      <c r="AY873" s="3" t="s">
        <v>9672</v>
      </c>
      <c r="AZ873" s="3" t="s">
        <v>75</v>
      </c>
      <c r="BB873" s="3" t="s">
        <v>9673</v>
      </c>
      <c r="BC873" s="3" t="s">
        <v>9674</v>
      </c>
      <c r="BD873" s="3" t="s">
        <v>9675</v>
      </c>
    </row>
    <row r="874" spans="1:56" ht="44.25" customHeight="1" x14ac:dyDescent="0.25">
      <c r="A874" s="7" t="s">
        <v>61</v>
      </c>
      <c r="B874" s="2" t="s">
        <v>9676</v>
      </c>
      <c r="C874" s="2" t="s">
        <v>9677</v>
      </c>
      <c r="D874" s="2" t="s">
        <v>9678</v>
      </c>
      <c r="F874" s="3" t="s">
        <v>61</v>
      </c>
      <c r="G874" s="3" t="s">
        <v>60</v>
      </c>
      <c r="H874" s="3" t="s">
        <v>61</v>
      </c>
      <c r="I874" s="3" t="s">
        <v>61</v>
      </c>
      <c r="J874" s="3" t="s">
        <v>62</v>
      </c>
      <c r="K874" s="2" t="s">
        <v>9679</v>
      </c>
      <c r="L874" s="2" t="s">
        <v>9680</v>
      </c>
      <c r="M874" s="3" t="s">
        <v>350</v>
      </c>
      <c r="O874" s="3" t="s">
        <v>114</v>
      </c>
      <c r="P874" s="3" t="s">
        <v>649</v>
      </c>
      <c r="R874" s="3" t="s">
        <v>68</v>
      </c>
      <c r="S874" s="4">
        <v>4</v>
      </c>
      <c r="T874" s="4">
        <v>4</v>
      </c>
      <c r="U874" s="5" t="s">
        <v>9641</v>
      </c>
      <c r="V874" s="5" t="s">
        <v>9641</v>
      </c>
      <c r="W874" s="5" t="s">
        <v>8774</v>
      </c>
      <c r="X874" s="5" t="s">
        <v>8774</v>
      </c>
      <c r="Y874" s="4">
        <v>192</v>
      </c>
      <c r="Z874" s="4">
        <v>180</v>
      </c>
      <c r="AA874" s="4">
        <v>221</v>
      </c>
      <c r="AB874" s="4">
        <v>3</v>
      </c>
      <c r="AC874" s="4">
        <v>4</v>
      </c>
      <c r="AD874" s="4">
        <v>6</v>
      </c>
      <c r="AE874" s="4">
        <v>7</v>
      </c>
      <c r="AF874" s="4">
        <v>2</v>
      </c>
      <c r="AG874" s="4">
        <v>2</v>
      </c>
      <c r="AH874" s="4">
        <v>1</v>
      </c>
      <c r="AI874" s="4">
        <v>1</v>
      </c>
      <c r="AJ874" s="4">
        <v>3</v>
      </c>
      <c r="AK874" s="4">
        <v>3</v>
      </c>
      <c r="AL874" s="4">
        <v>1</v>
      </c>
      <c r="AM874" s="4">
        <v>2</v>
      </c>
      <c r="AN874" s="4">
        <v>0</v>
      </c>
      <c r="AO874" s="4">
        <v>0</v>
      </c>
      <c r="AP874" s="3" t="s">
        <v>61</v>
      </c>
      <c r="AQ874" s="3" t="s">
        <v>59</v>
      </c>
      <c r="AR874" s="6" t="str">
        <f>HYPERLINK("http://catalog.hathitrust.org/Record/000735100","HathiTrust Record")</f>
        <v>HathiTrust Record</v>
      </c>
      <c r="AS874" s="6" t="str">
        <f>HYPERLINK("https://creighton-primo.hosted.exlibrisgroup.com/primo-explore/search?tab=default_tab&amp;search_scope=EVERYTHING&amp;vid=01CRU&amp;lang=en_US&amp;offset=0&amp;query=any,contains,991004650809702656","Catalog Record")</f>
        <v>Catalog Record</v>
      </c>
      <c r="AT874" s="6" t="str">
        <f>HYPERLINK("http://www.worldcat.org/oclc/4493846","WorldCat Record")</f>
        <v>WorldCat Record</v>
      </c>
      <c r="AU874" s="3" t="s">
        <v>9681</v>
      </c>
      <c r="AV874" s="3" t="s">
        <v>9682</v>
      </c>
      <c r="AW874" s="3" t="s">
        <v>9683</v>
      </c>
      <c r="AX874" s="3" t="s">
        <v>9683</v>
      </c>
      <c r="AY874" s="3" t="s">
        <v>9684</v>
      </c>
      <c r="AZ874" s="3" t="s">
        <v>75</v>
      </c>
      <c r="BB874" s="3" t="s">
        <v>9685</v>
      </c>
      <c r="BC874" s="3" t="s">
        <v>9686</v>
      </c>
      <c r="BD874" s="3" t="s">
        <v>9687</v>
      </c>
    </row>
    <row r="875" spans="1:56" ht="44.25" customHeight="1" x14ac:dyDescent="0.25">
      <c r="A875" s="7" t="s">
        <v>61</v>
      </c>
      <c r="B875" s="2" t="s">
        <v>9688</v>
      </c>
      <c r="C875" s="2" t="s">
        <v>9689</v>
      </c>
      <c r="D875" s="2" t="s">
        <v>9690</v>
      </c>
      <c r="F875" s="3" t="s">
        <v>61</v>
      </c>
      <c r="G875" s="3" t="s">
        <v>60</v>
      </c>
      <c r="H875" s="3" t="s">
        <v>61</v>
      </c>
      <c r="I875" s="3" t="s">
        <v>61</v>
      </c>
      <c r="J875" s="3" t="s">
        <v>62</v>
      </c>
      <c r="K875" s="2" t="s">
        <v>9691</v>
      </c>
      <c r="L875" s="2" t="s">
        <v>9692</v>
      </c>
      <c r="M875" s="3" t="s">
        <v>3179</v>
      </c>
      <c r="O875" s="3" t="s">
        <v>114</v>
      </c>
      <c r="P875" s="3" t="s">
        <v>235</v>
      </c>
      <c r="R875" s="3" t="s">
        <v>68</v>
      </c>
      <c r="S875" s="4">
        <v>1</v>
      </c>
      <c r="T875" s="4">
        <v>1</v>
      </c>
      <c r="U875" s="5" t="s">
        <v>9641</v>
      </c>
      <c r="V875" s="5" t="s">
        <v>9641</v>
      </c>
      <c r="W875" s="5" t="s">
        <v>8668</v>
      </c>
      <c r="X875" s="5" t="s">
        <v>8668</v>
      </c>
      <c r="Y875" s="4">
        <v>709</v>
      </c>
      <c r="Z875" s="4">
        <v>653</v>
      </c>
      <c r="AA875" s="4">
        <v>717</v>
      </c>
      <c r="AB875" s="4">
        <v>7</v>
      </c>
      <c r="AC875" s="4">
        <v>7</v>
      </c>
      <c r="AD875" s="4">
        <v>29</v>
      </c>
      <c r="AE875" s="4">
        <v>32</v>
      </c>
      <c r="AF875" s="4">
        <v>13</v>
      </c>
      <c r="AG875" s="4">
        <v>15</v>
      </c>
      <c r="AH875" s="4">
        <v>4</v>
      </c>
      <c r="AI875" s="4">
        <v>4</v>
      </c>
      <c r="AJ875" s="4">
        <v>14</v>
      </c>
      <c r="AK875" s="4">
        <v>16</v>
      </c>
      <c r="AL875" s="4">
        <v>5</v>
      </c>
      <c r="AM875" s="4">
        <v>5</v>
      </c>
      <c r="AN875" s="4">
        <v>0</v>
      </c>
      <c r="AO875" s="4">
        <v>0</v>
      </c>
      <c r="AP875" s="3" t="s">
        <v>61</v>
      </c>
      <c r="AQ875" s="3" t="s">
        <v>59</v>
      </c>
      <c r="AR875" s="6" t="str">
        <f>HYPERLINK("http://catalog.hathitrust.org/Record/000490649","HathiTrust Record")</f>
        <v>HathiTrust Record</v>
      </c>
      <c r="AS875" s="6" t="str">
        <f>HYPERLINK("https://creighton-primo.hosted.exlibrisgroup.com/primo-explore/search?tab=default_tab&amp;search_scope=EVERYTHING&amp;vid=01CRU&amp;lang=en_US&amp;offset=0&amp;query=any,contains,991002672359702656","Catalog Record")</f>
        <v>Catalog Record</v>
      </c>
      <c r="AT875" s="6" t="str">
        <f>HYPERLINK("http://www.worldcat.org/oclc/395675","WorldCat Record")</f>
        <v>WorldCat Record</v>
      </c>
      <c r="AU875" s="3" t="s">
        <v>9693</v>
      </c>
      <c r="AV875" s="3" t="s">
        <v>9694</v>
      </c>
      <c r="AW875" s="3" t="s">
        <v>9695</v>
      </c>
      <c r="AX875" s="3" t="s">
        <v>9695</v>
      </c>
      <c r="AY875" s="3" t="s">
        <v>9696</v>
      </c>
      <c r="AZ875" s="3" t="s">
        <v>75</v>
      </c>
      <c r="BC875" s="3" t="s">
        <v>9697</v>
      </c>
      <c r="BD875" s="3" t="s">
        <v>9698</v>
      </c>
    </row>
    <row r="876" spans="1:56" ht="44.25" customHeight="1" x14ac:dyDescent="0.25">
      <c r="A876" s="7" t="s">
        <v>61</v>
      </c>
      <c r="B876" s="2" t="s">
        <v>9699</v>
      </c>
      <c r="C876" s="2" t="s">
        <v>9700</v>
      </c>
      <c r="D876" s="2" t="s">
        <v>9701</v>
      </c>
      <c r="F876" s="3" t="s">
        <v>61</v>
      </c>
      <c r="G876" s="3" t="s">
        <v>60</v>
      </c>
      <c r="H876" s="3" t="s">
        <v>61</v>
      </c>
      <c r="I876" s="3" t="s">
        <v>61</v>
      </c>
      <c r="J876" s="3" t="s">
        <v>62</v>
      </c>
      <c r="K876" s="2" t="s">
        <v>9702</v>
      </c>
      <c r="L876" s="2" t="s">
        <v>9703</v>
      </c>
      <c r="M876" s="3" t="s">
        <v>1758</v>
      </c>
      <c r="O876" s="3" t="s">
        <v>114</v>
      </c>
      <c r="P876" s="3" t="s">
        <v>1494</v>
      </c>
      <c r="R876" s="3" t="s">
        <v>68</v>
      </c>
      <c r="S876" s="4">
        <v>7</v>
      </c>
      <c r="T876" s="4">
        <v>7</v>
      </c>
      <c r="U876" s="5" t="s">
        <v>9704</v>
      </c>
      <c r="V876" s="5" t="s">
        <v>9704</v>
      </c>
      <c r="W876" s="5" t="s">
        <v>8774</v>
      </c>
      <c r="X876" s="5" t="s">
        <v>8774</v>
      </c>
      <c r="Y876" s="4">
        <v>1473</v>
      </c>
      <c r="Z876" s="4">
        <v>1351</v>
      </c>
      <c r="AA876" s="4">
        <v>1490</v>
      </c>
      <c r="AB876" s="4">
        <v>12</v>
      </c>
      <c r="AC876" s="4">
        <v>13</v>
      </c>
      <c r="AD876" s="4">
        <v>44</v>
      </c>
      <c r="AE876" s="4">
        <v>46</v>
      </c>
      <c r="AF876" s="4">
        <v>18</v>
      </c>
      <c r="AG876" s="4">
        <v>19</v>
      </c>
      <c r="AH876" s="4">
        <v>11</v>
      </c>
      <c r="AI876" s="4">
        <v>11</v>
      </c>
      <c r="AJ876" s="4">
        <v>18</v>
      </c>
      <c r="AK876" s="4">
        <v>19</v>
      </c>
      <c r="AL876" s="4">
        <v>7</v>
      </c>
      <c r="AM876" s="4">
        <v>8</v>
      </c>
      <c r="AN876" s="4">
        <v>1</v>
      </c>
      <c r="AO876" s="4">
        <v>1</v>
      </c>
      <c r="AP876" s="3" t="s">
        <v>61</v>
      </c>
      <c r="AQ876" s="3" t="s">
        <v>61</v>
      </c>
      <c r="AS876" s="6" t="str">
        <f>HYPERLINK("https://creighton-primo.hosted.exlibrisgroup.com/primo-explore/search?tab=default_tab&amp;search_scope=EVERYTHING&amp;vid=01CRU&amp;lang=en_US&amp;offset=0&amp;query=any,contains,991005048909702656","Catalog Record")</f>
        <v>Catalog Record</v>
      </c>
      <c r="AT876" s="6" t="str">
        <f>HYPERLINK("http://www.worldcat.org/oclc/6863111","WorldCat Record")</f>
        <v>WorldCat Record</v>
      </c>
      <c r="AU876" s="3" t="s">
        <v>9705</v>
      </c>
      <c r="AV876" s="3" t="s">
        <v>9706</v>
      </c>
      <c r="AW876" s="3" t="s">
        <v>9707</v>
      </c>
      <c r="AX876" s="3" t="s">
        <v>9707</v>
      </c>
      <c r="AY876" s="3" t="s">
        <v>9708</v>
      </c>
      <c r="AZ876" s="3" t="s">
        <v>75</v>
      </c>
      <c r="BB876" s="3" t="s">
        <v>9709</v>
      </c>
      <c r="BC876" s="3" t="s">
        <v>9710</v>
      </c>
      <c r="BD876" s="3" t="s">
        <v>9711</v>
      </c>
    </row>
    <row r="877" spans="1:56" ht="44.25" customHeight="1" x14ac:dyDescent="0.25">
      <c r="A877" s="7" t="s">
        <v>61</v>
      </c>
      <c r="B877" s="2" t="s">
        <v>9712</v>
      </c>
      <c r="C877" s="2" t="s">
        <v>9713</v>
      </c>
      <c r="D877" s="2" t="s">
        <v>9714</v>
      </c>
      <c r="F877" s="3" t="s">
        <v>61</v>
      </c>
      <c r="G877" s="3" t="s">
        <v>60</v>
      </c>
      <c r="H877" s="3" t="s">
        <v>61</v>
      </c>
      <c r="I877" s="3" t="s">
        <v>61</v>
      </c>
      <c r="J877" s="3" t="s">
        <v>62</v>
      </c>
      <c r="K877" s="2" t="s">
        <v>9715</v>
      </c>
      <c r="L877" s="2" t="s">
        <v>9716</v>
      </c>
      <c r="M877" s="3" t="s">
        <v>305</v>
      </c>
      <c r="O877" s="3" t="s">
        <v>114</v>
      </c>
      <c r="P877" s="3" t="s">
        <v>235</v>
      </c>
      <c r="R877" s="3" t="s">
        <v>68</v>
      </c>
      <c r="S877" s="4">
        <v>3</v>
      </c>
      <c r="T877" s="4">
        <v>3</v>
      </c>
      <c r="U877" s="5" t="s">
        <v>9717</v>
      </c>
      <c r="V877" s="5" t="s">
        <v>9717</v>
      </c>
      <c r="W877" s="5" t="s">
        <v>8668</v>
      </c>
      <c r="X877" s="5" t="s">
        <v>8668</v>
      </c>
      <c r="Y877" s="4">
        <v>1972</v>
      </c>
      <c r="Z877" s="4">
        <v>1916</v>
      </c>
      <c r="AA877" s="4">
        <v>2549</v>
      </c>
      <c r="AB877" s="4">
        <v>14</v>
      </c>
      <c r="AC877" s="4">
        <v>16</v>
      </c>
      <c r="AD877" s="4">
        <v>48</v>
      </c>
      <c r="AE877" s="4">
        <v>56</v>
      </c>
      <c r="AF877" s="4">
        <v>20</v>
      </c>
      <c r="AG877" s="4">
        <v>24</v>
      </c>
      <c r="AH877" s="4">
        <v>8</v>
      </c>
      <c r="AI877" s="4">
        <v>10</v>
      </c>
      <c r="AJ877" s="4">
        <v>20</v>
      </c>
      <c r="AK877" s="4">
        <v>23</v>
      </c>
      <c r="AL877" s="4">
        <v>9</v>
      </c>
      <c r="AM877" s="4">
        <v>11</v>
      </c>
      <c r="AN877" s="4">
        <v>0</v>
      </c>
      <c r="AO877" s="4">
        <v>0</v>
      </c>
      <c r="AP877" s="3" t="s">
        <v>61</v>
      </c>
      <c r="AQ877" s="3" t="s">
        <v>59</v>
      </c>
      <c r="AR877" s="6" t="str">
        <f>HYPERLINK("http://catalog.hathitrust.org/Record/000491212","HathiTrust Record")</f>
        <v>HathiTrust Record</v>
      </c>
      <c r="AS877" s="6" t="str">
        <f>HYPERLINK("https://creighton-primo.hosted.exlibrisgroup.com/primo-explore/search?tab=default_tab&amp;search_scope=EVERYTHING&amp;vid=01CRU&amp;lang=en_US&amp;offset=0&amp;query=any,contains,991003179519702656","Catalog Record")</f>
        <v>Catalog Record</v>
      </c>
      <c r="AT877" s="6" t="str">
        <f>HYPERLINK("http://www.worldcat.org/oclc/711458","WorldCat Record")</f>
        <v>WorldCat Record</v>
      </c>
      <c r="AU877" s="3" t="s">
        <v>9718</v>
      </c>
      <c r="AV877" s="3" t="s">
        <v>9719</v>
      </c>
      <c r="AW877" s="3" t="s">
        <v>9720</v>
      </c>
      <c r="AX877" s="3" t="s">
        <v>9720</v>
      </c>
      <c r="AY877" s="3" t="s">
        <v>9721</v>
      </c>
      <c r="AZ877" s="3" t="s">
        <v>75</v>
      </c>
      <c r="BC877" s="3" t="s">
        <v>9722</v>
      </c>
      <c r="BD877" s="3" t="s">
        <v>9723</v>
      </c>
    </row>
    <row r="878" spans="1:56" ht="44.25" customHeight="1" x14ac:dyDescent="0.25">
      <c r="A878" s="7" t="s">
        <v>61</v>
      </c>
      <c r="B878" s="2" t="s">
        <v>9724</v>
      </c>
      <c r="C878" s="2" t="s">
        <v>9725</v>
      </c>
      <c r="D878" s="2" t="s">
        <v>9726</v>
      </c>
      <c r="F878" s="3" t="s">
        <v>61</v>
      </c>
      <c r="G878" s="3" t="s">
        <v>60</v>
      </c>
      <c r="H878" s="3" t="s">
        <v>61</v>
      </c>
      <c r="I878" s="3" t="s">
        <v>61</v>
      </c>
      <c r="J878" s="3" t="s">
        <v>62</v>
      </c>
      <c r="K878" s="2" t="s">
        <v>9727</v>
      </c>
      <c r="L878" s="2" t="s">
        <v>9728</v>
      </c>
      <c r="M878" s="3" t="s">
        <v>5844</v>
      </c>
      <c r="O878" s="3" t="s">
        <v>114</v>
      </c>
      <c r="P878" s="3" t="s">
        <v>5342</v>
      </c>
      <c r="R878" s="3" t="s">
        <v>68</v>
      </c>
      <c r="S878" s="4">
        <v>3</v>
      </c>
      <c r="T878" s="4">
        <v>3</v>
      </c>
      <c r="U878" s="5" t="s">
        <v>3232</v>
      </c>
      <c r="V878" s="5" t="s">
        <v>3232</v>
      </c>
      <c r="W878" s="5" t="s">
        <v>4708</v>
      </c>
      <c r="X878" s="5" t="s">
        <v>4708</v>
      </c>
      <c r="Y878" s="4">
        <v>65</v>
      </c>
      <c r="Z878" s="4">
        <v>64</v>
      </c>
      <c r="AA878" s="4">
        <v>64</v>
      </c>
      <c r="AB878" s="4">
        <v>2</v>
      </c>
      <c r="AC878" s="4">
        <v>2</v>
      </c>
      <c r="AD878" s="4">
        <v>7</v>
      </c>
      <c r="AE878" s="4">
        <v>7</v>
      </c>
      <c r="AF878" s="4">
        <v>3</v>
      </c>
      <c r="AG878" s="4">
        <v>3</v>
      </c>
      <c r="AH878" s="4">
        <v>0</v>
      </c>
      <c r="AI878" s="4">
        <v>0</v>
      </c>
      <c r="AJ878" s="4">
        <v>4</v>
      </c>
      <c r="AK878" s="4">
        <v>4</v>
      </c>
      <c r="AL878" s="4">
        <v>1</v>
      </c>
      <c r="AM878" s="4">
        <v>1</v>
      </c>
      <c r="AN878" s="4">
        <v>0</v>
      </c>
      <c r="AO878" s="4">
        <v>0</v>
      </c>
      <c r="AP878" s="3" t="s">
        <v>61</v>
      </c>
      <c r="AQ878" s="3" t="s">
        <v>61</v>
      </c>
      <c r="AS878" s="6" t="str">
        <f>HYPERLINK("https://creighton-primo.hosted.exlibrisgroup.com/primo-explore/search?tab=default_tab&amp;search_scope=EVERYTHING&amp;vid=01CRU&amp;lang=en_US&amp;offset=0&amp;query=any,contains,991003881749702656","Catalog Record")</f>
        <v>Catalog Record</v>
      </c>
      <c r="AT878" s="6" t="str">
        <f>HYPERLINK("http://www.worldcat.org/oclc/1727655","WorldCat Record")</f>
        <v>WorldCat Record</v>
      </c>
      <c r="AU878" s="3" t="s">
        <v>9729</v>
      </c>
      <c r="AV878" s="3" t="s">
        <v>9730</v>
      </c>
      <c r="AW878" s="3" t="s">
        <v>9731</v>
      </c>
      <c r="AX878" s="3" t="s">
        <v>9731</v>
      </c>
      <c r="AY878" s="3" t="s">
        <v>9732</v>
      </c>
      <c r="AZ878" s="3" t="s">
        <v>75</v>
      </c>
      <c r="BC878" s="3" t="s">
        <v>9733</v>
      </c>
      <c r="BD878" s="3" t="s">
        <v>9734</v>
      </c>
    </row>
    <row r="879" spans="1:56" ht="44.25" customHeight="1" x14ac:dyDescent="0.25">
      <c r="A879" s="7" t="s">
        <v>61</v>
      </c>
      <c r="B879" s="2" t="s">
        <v>9735</v>
      </c>
      <c r="C879" s="2" t="s">
        <v>9736</v>
      </c>
      <c r="D879" s="2" t="s">
        <v>9737</v>
      </c>
      <c r="F879" s="3" t="s">
        <v>61</v>
      </c>
      <c r="G879" s="3" t="s">
        <v>60</v>
      </c>
      <c r="H879" s="3" t="s">
        <v>61</v>
      </c>
      <c r="I879" s="3" t="s">
        <v>61</v>
      </c>
      <c r="J879" s="3" t="s">
        <v>62</v>
      </c>
      <c r="K879" s="2" t="s">
        <v>9738</v>
      </c>
      <c r="L879" s="2" t="s">
        <v>9739</v>
      </c>
      <c r="M879" s="3" t="s">
        <v>1596</v>
      </c>
      <c r="O879" s="3" t="s">
        <v>114</v>
      </c>
      <c r="P879" s="3" t="s">
        <v>649</v>
      </c>
      <c r="R879" s="3" t="s">
        <v>68</v>
      </c>
      <c r="S879" s="4">
        <v>4</v>
      </c>
      <c r="T879" s="4">
        <v>4</v>
      </c>
      <c r="U879" s="5" t="s">
        <v>4364</v>
      </c>
      <c r="V879" s="5" t="s">
        <v>4364</v>
      </c>
      <c r="W879" s="5" t="s">
        <v>8668</v>
      </c>
      <c r="X879" s="5" t="s">
        <v>8668</v>
      </c>
      <c r="Y879" s="4">
        <v>170</v>
      </c>
      <c r="Z879" s="4">
        <v>139</v>
      </c>
      <c r="AA879" s="4">
        <v>279</v>
      </c>
      <c r="AB879" s="4">
        <v>1</v>
      </c>
      <c r="AC879" s="4">
        <v>2</v>
      </c>
      <c r="AD879" s="4">
        <v>7</v>
      </c>
      <c r="AE879" s="4">
        <v>14</v>
      </c>
      <c r="AF879" s="4">
        <v>2</v>
      </c>
      <c r="AG879" s="4">
        <v>4</v>
      </c>
      <c r="AH879" s="4">
        <v>4</v>
      </c>
      <c r="AI879" s="4">
        <v>6</v>
      </c>
      <c r="AJ879" s="4">
        <v>5</v>
      </c>
      <c r="AK879" s="4">
        <v>8</v>
      </c>
      <c r="AL879" s="4">
        <v>0</v>
      </c>
      <c r="AM879" s="4">
        <v>1</v>
      </c>
      <c r="AN879" s="4">
        <v>0</v>
      </c>
      <c r="AO879" s="4">
        <v>0</v>
      </c>
      <c r="AP879" s="3" t="s">
        <v>61</v>
      </c>
      <c r="AQ879" s="3" t="s">
        <v>61</v>
      </c>
      <c r="AS879" s="6" t="str">
        <f>HYPERLINK("https://creighton-primo.hosted.exlibrisgroup.com/primo-explore/search?tab=default_tab&amp;search_scope=EVERYTHING&amp;vid=01CRU&amp;lang=en_US&amp;offset=0&amp;query=any,contains,991004025549702656","Catalog Record")</f>
        <v>Catalog Record</v>
      </c>
      <c r="AT879" s="6" t="str">
        <f>HYPERLINK("http://www.worldcat.org/oclc/2136464","WorldCat Record")</f>
        <v>WorldCat Record</v>
      </c>
      <c r="AU879" s="3" t="s">
        <v>9740</v>
      </c>
      <c r="AV879" s="3" t="s">
        <v>9741</v>
      </c>
      <c r="AW879" s="3" t="s">
        <v>9742</v>
      </c>
      <c r="AX879" s="3" t="s">
        <v>9742</v>
      </c>
      <c r="AY879" s="3" t="s">
        <v>9743</v>
      </c>
      <c r="AZ879" s="3" t="s">
        <v>75</v>
      </c>
      <c r="BB879" s="3" t="s">
        <v>9744</v>
      </c>
      <c r="BC879" s="3" t="s">
        <v>9745</v>
      </c>
      <c r="BD879" s="3" t="s">
        <v>9746</v>
      </c>
    </row>
    <row r="880" spans="1:56" ht="44.25" customHeight="1" x14ac:dyDescent="0.25">
      <c r="A880" s="7" t="s">
        <v>61</v>
      </c>
      <c r="B880" s="2" t="s">
        <v>9747</v>
      </c>
      <c r="C880" s="2" t="s">
        <v>9748</v>
      </c>
      <c r="D880" s="2" t="s">
        <v>9749</v>
      </c>
      <c r="F880" s="3" t="s">
        <v>61</v>
      </c>
      <c r="G880" s="3" t="s">
        <v>60</v>
      </c>
      <c r="H880" s="3" t="s">
        <v>61</v>
      </c>
      <c r="I880" s="3" t="s">
        <v>61</v>
      </c>
      <c r="J880" s="3" t="s">
        <v>62</v>
      </c>
      <c r="K880" s="2" t="s">
        <v>9750</v>
      </c>
      <c r="L880" s="2" t="s">
        <v>9751</v>
      </c>
      <c r="M880" s="3" t="s">
        <v>334</v>
      </c>
      <c r="O880" s="3" t="s">
        <v>114</v>
      </c>
      <c r="P880" s="3" t="s">
        <v>192</v>
      </c>
      <c r="R880" s="3" t="s">
        <v>68</v>
      </c>
      <c r="S880" s="4">
        <v>6</v>
      </c>
      <c r="T880" s="4">
        <v>6</v>
      </c>
      <c r="U880" s="5" t="s">
        <v>9752</v>
      </c>
      <c r="V880" s="5" t="s">
        <v>9752</v>
      </c>
      <c r="W880" s="5" t="s">
        <v>6469</v>
      </c>
      <c r="X880" s="5" t="s">
        <v>6469</v>
      </c>
      <c r="Y880" s="4">
        <v>149</v>
      </c>
      <c r="Z880" s="4">
        <v>65</v>
      </c>
      <c r="AA880" s="4">
        <v>194</v>
      </c>
      <c r="AB880" s="4">
        <v>4</v>
      </c>
      <c r="AC880" s="4">
        <v>4</v>
      </c>
      <c r="AD880" s="4">
        <v>5</v>
      </c>
      <c r="AE880" s="4">
        <v>9</v>
      </c>
      <c r="AF880" s="4">
        <v>0</v>
      </c>
      <c r="AG880" s="4">
        <v>1</v>
      </c>
      <c r="AH880" s="4">
        <v>2</v>
      </c>
      <c r="AI880" s="4">
        <v>2</v>
      </c>
      <c r="AJ880" s="4">
        <v>2</v>
      </c>
      <c r="AK880" s="4">
        <v>5</v>
      </c>
      <c r="AL880" s="4">
        <v>3</v>
      </c>
      <c r="AM880" s="4">
        <v>3</v>
      </c>
      <c r="AN880" s="4">
        <v>0</v>
      </c>
      <c r="AO880" s="4">
        <v>0</v>
      </c>
      <c r="AP880" s="3" t="s">
        <v>61</v>
      </c>
      <c r="AQ880" s="3" t="s">
        <v>59</v>
      </c>
      <c r="AR880" s="6" t="str">
        <f>HYPERLINK("http://catalog.hathitrust.org/Record/000837542","HathiTrust Record")</f>
        <v>HathiTrust Record</v>
      </c>
      <c r="AS880" s="6" t="str">
        <f>HYPERLINK("https://creighton-primo.hosted.exlibrisgroup.com/primo-explore/search?tab=default_tab&amp;search_scope=EVERYTHING&amp;vid=01CRU&amp;lang=en_US&amp;offset=0&amp;query=any,contains,991001038559702656","Catalog Record")</f>
        <v>Catalog Record</v>
      </c>
      <c r="AT880" s="6" t="str">
        <f>HYPERLINK("http://www.worldcat.org/oclc/59238672","WorldCat Record")</f>
        <v>WorldCat Record</v>
      </c>
      <c r="AU880" s="3" t="s">
        <v>9753</v>
      </c>
      <c r="AV880" s="3" t="s">
        <v>9754</v>
      </c>
      <c r="AW880" s="3" t="s">
        <v>9755</v>
      </c>
      <c r="AX880" s="3" t="s">
        <v>9755</v>
      </c>
      <c r="AY880" s="3" t="s">
        <v>9756</v>
      </c>
      <c r="AZ880" s="3" t="s">
        <v>75</v>
      </c>
      <c r="BB880" s="3" t="s">
        <v>9757</v>
      </c>
      <c r="BC880" s="3" t="s">
        <v>9758</v>
      </c>
      <c r="BD880" s="3" t="s">
        <v>9759</v>
      </c>
    </row>
    <row r="881" spans="1:56" ht="44.25" customHeight="1" x14ac:dyDescent="0.25">
      <c r="A881" s="7" t="s">
        <v>61</v>
      </c>
      <c r="B881" s="2" t="s">
        <v>9760</v>
      </c>
      <c r="C881" s="2" t="s">
        <v>9761</v>
      </c>
      <c r="D881" s="2" t="s">
        <v>9762</v>
      </c>
      <c r="F881" s="3" t="s">
        <v>61</v>
      </c>
      <c r="G881" s="3" t="s">
        <v>60</v>
      </c>
      <c r="H881" s="3" t="s">
        <v>61</v>
      </c>
      <c r="I881" s="3" t="s">
        <v>61</v>
      </c>
      <c r="J881" s="3" t="s">
        <v>62</v>
      </c>
      <c r="K881" s="2" t="s">
        <v>9763</v>
      </c>
      <c r="L881" s="2" t="s">
        <v>9764</v>
      </c>
      <c r="M881" s="3" t="s">
        <v>113</v>
      </c>
      <c r="O881" s="3" t="s">
        <v>114</v>
      </c>
      <c r="P881" s="3" t="s">
        <v>235</v>
      </c>
      <c r="R881" s="3" t="s">
        <v>68</v>
      </c>
      <c r="S881" s="4">
        <v>3</v>
      </c>
      <c r="T881" s="4">
        <v>3</v>
      </c>
      <c r="U881" s="5" t="s">
        <v>9765</v>
      </c>
      <c r="V881" s="5" t="s">
        <v>9765</v>
      </c>
      <c r="W881" s="5" t="s">
        <v>8668</v>
      </c>
      <c r="X881" s="5" t="s">
        <v>8668</v>
      </c>
      <c r="Y881" s="4">
        <v>441</v>
      </c>
      <c r="Z881" s="4">
        <v>407</v>
      </c>
      <c r="AA881" s="4">
        <v>409</v>
      </c>
      <c r="AB881" s="4">
        <v>5</v>
      </c>
      <c r="AC881" s="4">
        <v>5</v>
      </c>
      <c r="AD881" s="4">
        <v>20</v>
      </c>
      <c r="AE881" s="4">
        <v>20</v>
      </c>
      <c r="AF881" s="4">
        <v>4</v>
      </c>
      <c r="AG881" s="4">
        <v>4</v>
      </c>
      <c r="AH881" s="4">
        <v>6</v>
      </c>
      <c r="AI881" s="4">
        <v>6</v>
      </c>
      <c r="AJ881" s="4">
        <v>10</v>
      </c>
      <c r="AK881" s="4">
        <v>10</v>
      </c>
      <c r="AL881" s="4">
        <v>3</v>
      </c>
      <c r="AM881" s="4">
        <v>3</v>
      </c>
      <c r="AN881" s="4">
        <v>0</v>
      </c>
      <c r="AO881" s="4">
        <v>0</v>
      </c>
      <c r="AP881" s="3" t="s">
        <v>61</v>
      </c>
      <c r="AQ881" s="3" t="s">
        <v>59</v>
      </c>
      <c r="AR881" s="6" t="str">
        <f>HYPERLINK("http://catalog.hathitrust.org/Record/000491113","HathiTrust Record")</f>
        <v>HathiTrust Record</v>
      </c>
      <c r="AS881" s="6" t="str">
        <f>HYPERLINK("https://creighton-primo.hosted.exlibrisgroup.com/primo-explore/search?tab=default_tab&amp;search_scope=EVERYTHING&amp;vid=01CRU&amp;lang=en_US&amp;offset=0&amp;query=any,contains,991003375349702656","Catalog Record")</f>
        <v>Catalog Record</v>
      </c>
      <c r="AT881" s="6" t="str">
        <f>HYPERLINK("http://www.worldcat.org/oclc/912357","WorldCat Record")</f>
        <v>WorldCat Record</v>
      </c>
      <c r="AU881" s="3" t="s">
        <v>9766</v>
      </c>
      <c r="AV881" s="3" t="s">
        <v>9767</v>
      </c>
      <c r="AW881" s="3" t="s">
        <v>9768</v>
      </c>
      <c r="AX881" s="3" t="s">
        <v>9768</v>
      </c>
      <c r="AY881" s="3" t="s">
        <v>9769</v>
      </c>
      <c r="AZ881" s="3" t="s">
        <v>75</v>
      </c>
      <c r="BC881" s="3" t="s">
        <v>9770</v>
      </c>
      <c r="BD881" s="3" t="s">
        <v>9771</v>
      </c>
    </row>
    <row r="882" spans="1:56" ht="44.25" customHeight="1" x14ac:dyDescent="0.25">
      <c r="A882" s="7" t="s">
        <v>61</v>
      </c>
      <c r="B882" s="2" t="s">
        <v>9772</v>
      </c>
      <c r="C882" s="2" t="s">
        <v>9773</v>
      </c>
      <c r="D882" s="2" t="s">
        <v>9774</v>
      </c>
      <c r="F882" s="3" t="s">
        <v>61</v>
      </c>
      <c r="G882" s="3" t="s">
        <v>60</v>
      </c>
      <c r="H882" s="3" t="s">
        <v>61</v>
      </c>
      <c r="I882" s="3" t="s">
        <v>61</v>
      </c>
      <c r="J882" s="3" t="s">
        <v>62</v>
      </c>
      <c r="K882" s="2" t="s">
        <v>9775</v>
      </c>
      <c r="L882" s="2" t="s">
        <v>9776</v>
      </c>
      <c r="M882" s="3" t="s">
        <v>466</v>
      </c>
      <c r="O882" s="3" t="s">
        <v>114</v>
      </c>
      <c r="P882" s="3" t="s">
        <v>2968</v>
      </c>
      <c r="Q882" s="2" t="s">
        <v>7696</v>
      </c>
      <c r="R882" s="3" t="s">
        <v>68</v>
      </c>
      <c r="S882" s="4">
        <v>14</v>
      </c>
      <c r="T882" s="4">
        <v>14</v>
      </c>
      <c r="U882" s="5" t="s">
        <v>9777</v>
      </c>
      <c r="V882" s="5" t="s">
        <v>9777</v>
      </c>
      <c r="W882" s="5" t="s">
        <v>9778</v>
      </c>
      <c r="X882" s="5" t="s">
        <v>9778</v>
      </c>
      <c r="Y882" s="4">
        <v>2014</v>
      </c>
      <c r="Z882" s="4">
        <v>1899</v>
      </c>
      <c r="AA882" s="4">
        <v>2249</v>
      </c>
      <c r="AB882" s="4">
        <v>22</v>
      </c>
      <c r="AC882" s="4">
        <v>26</v>
      </c>
      <c r="AD882" s="4">
        <v>21</v>
      </c>
      <c r="AE882" s="4">
        <v>28</v>
      </c>
      <c r="AF882" s="4">
        <v>6</v>
      </c>
      <c r="AG882" s="4">
        <v>11</v>
      </c>
      <c r="AH882" s="4">
        <v>3</v>
      </c>
      <c r="AI882" s="4">
        <v>3</v>
      </c>
      <c r="AJ882" s="4">
        <v>11</v>
      </c>
      <c r="AK882" s="4">
        <v>14</v>
      </c>
      <c r="AL882" s="4">
        <v>4</v>
      </c>
      <c r="AM882" s="4">
        <v>5</v>
      </c>
      <c r="AN882" s="4">
        <v>0</v>
      </c>
      <c r="AO882" s="4">
        <v>0</v>
      </c>
      <c r="AP882" s="3" t="s">
        <v>61</v>
      </c>
      <c r="AQ882" s="3" t="s">
        <v>61</v>
      </c>
      <c r="AS882" s="6" t="str">
        <f>HYPERLINK("https://creighton-primo.hosted.exlibrisgroup.com/primo-explore/search?tab=default_tab&amp;search_scope=EVERYTHING&amp;vid=01CRU&amp;lang=en_US&amp;offset=0&amp;query=any,contains,991004599119702656","Catalog Record")</f>
        <v>Catalog Record</v>
      </c>
      <c r="AT882" s="6" t="str">
        <f>HYPERLINK("http://www.worldcat.org/oclc/4162356","WorldCat Record")</f>
        <v>WorldCat Record</v>
      </c>
      <c r="AU882" s="3" t="s">
        <v>9779</v>
      </c>
      <c r="AV882" s="3" t="s">
        <v>9780</v>
      </c>
      <c r="AW882" s="3" t="s">
        <v>9781</v>
      </c>
      <c r="AX882" s="3" t="s">
        <v>9781</v>
      </c>
      <c r="AY882" s="3" t="s">
        <v>9782</v>
      </c>
      <c r="AZ882" s="3" t="s">
        <v>75</v>
      </c>
      <c r="BC882" s="3" t="s">
        <v>9783</v>
      </c>
      <c r="BD882" s="3" t="s">
        <v>9784</v>
      </c>
    </row>
    <row r="883" spans="1:56" ht="44.25" customHeight="1" x14ac:dyDescent="0.25">
      <c r="A883" s="7" t="s">
        <v>61</v>
      </c>
      <c r="B883" s="2" t="s">
        <v>9785</v>
      </c>
      <c r="C883" s="2" t="s">
        <v>9786</v>
      </c>
      <c r="D883" s="2" t="s">
        <v>9787</v>
      </c>
      <c r="F883" s="3" t="s">
        <v>61</v>
      </c>
      <c r="G883" s="3" t="s">
        <v>60</v>
      </c>
      <c r="H883" s="3" t="s">
        <v>61</v>
      </c>
      <c r="I883" s="3" t="s">
        <v>61</v>
      </c>
      <c r="J883" s="3" t="s">
        <v>62</v>
      </c>
      <c r="K883" s="2" t="s">
        <v>9788</v>
      </c>
      <c r="L883" s="2" t="s">
        <v>9789</v>
      </c>
      <c r="M883" s="3" t="s">
        <v>1976</v>
      </c>
      <c r="O883" s="3" t="s">
        <v>114</v>
      </c>
      <c r="P883" s="3" t="s">
        <v>235</v>
      </c>
      <c r="R883" s="3" t="s">
        <v>68</v>
      </c>
      <c r="S883" s="4">
        <v>2</v>
      </c>
      <c r="T883" s="4">
        <v>2</v>
      </c>
      <c r="U883" s="5" t="s">
        <v>9790</v>
      </c>
      <c r="V883" s="5" t="s">
        <v>9790</v>
      </c>
      <c r="W883" s="5" t="s">
        <v>9791</v>
      </c>
      <c r="X883" s="5" t="s">
        <v>9791</v>
      </c>
      <c r="Y883" s="4">
        <v>920</v>
      </c>
      <c r="Z883" s="4">
        <v>863</v>
      </c>
      <c r="AA883" s="4">
        <v>885</v>
      </c>
      <c r="AB883" s="4">
        <v>8</v>
      </c>
      <c r="AC883" s="4">
        <v>8</v>
      </c>
      <c r="AD883" s="4">
        <v>28</v>
      </c>
      <c r="AE883" s="4">
        <v>28</v>
      </c>
      <c r="AF883" s="4">
        <v>10</v>
      </c>
      <c r="AG883" s="4">
        <v>10</v>
      </c>
      <c r="AH883" s="4">
        <v>8</v>
      </c>
      <c r="AI883" s="4">
        <v>8</v>
      </c>
      <c r="AJ883" s="4">
        <v>15</v>
      </c>
      <c r="AK883" s="4">
        <v>15</v>
      </c>
      <c r="AL883" s="4">
        <v>2</v>
      </c>
      <c r="AM883" s="4">
        <v>2</v>
      </c>
      <c r="AN883" s="4">
        <v>0</v>
      </c>
      <c r="AO883" s="4">
        <v>0</v>
      </c>
      <c r="AP883" s="3" t="s">
        <v>61</v>
      </c>
      <c r="AQ883" s="3" t="s">
        <v>59</v>
      </c>
      <c r="AR883" s="6" t="str">
        <f>HYPERLINK("http://catalog.hathitrust.org/Record/004334042","HathiTrust Record")</f>
        <v>HathiTrust Record</v>
      </c>
      <c r="AS883" s="6" t="str">
        <f>HYPERLINK("https://creighton-primo.hosted.exlibrisgroup.com/primo-explore/search?tab=default_tab&amp;search_scope=EVERYTHING&amp;vid=01CRU&amp;lang=en_US&amp;offset=0&amp;query=any,contains,991004124419702656","Catalog Record")</f>
        <v>Catalog Record</v>
      </c>
      <c r="AT883" s="6" t="str">
        <f>HYPERLINK("http://www.worldcat.org/oclc/51977991","WorldCat Record")</f>
        <v>WorldCat Record</v>
      </c>
      <c r="AU883" s="3" t="s">
        <v>9792</v>
      </c>
      <c r="AV883" s="3" t="s">
        <v>9793</v>
      </c>
      <c r="AW883" s="3" t="s">
        <v>9794</v>
      </c>
      <c r="AX883" s="3" t="s">
        <v>9794</v>
      </c>
      <c r="AY883" s="3" t="s">
        <v>9795</v>
      </c>
      <c r="AZ883" s="3" t="s">
        <v>75</v>
      </c>
      <c r="BB883" s="3" t="s">
        <v>9796</v>
      </c>
      <c r="BC883" s="3" t="s">
        <v>9797</v>
      </c>
      <c r="BD883" s="3" t="s">
        <v>9798</v>
      </c>
    </row>
    <row r="884" spans="1:56" ht="44.25" customHeight="1" x14ac:dyDescent="0.25">
      <c r="A884" s="7" t="s">
        <v>61</v>
      </c>
      <c r="B884" s="2" t="s">
        <v>9799</v>
      </c>
      <c r="C884" s="2" t="s">
        <v>9800</v>
      </c>
      <c r="D884" s="2" t="s">
        <v>9801</v>
      </c>
      <c r="F884" s="3" t="s">
        <v>61</v>
      </c>
      <c r="G884" s="3" t="s">
        <v>60</v>
      </c>
      <c r="H884" s="3" t="s">
        <v>61</v>
      </c>
      <c r="I884" s="3" t="s">
        <v>61</v>
      </c>
      <c r="J884" s="3" t="s">
        <v>62</v>
      </c>
      <c r="L884" s="2" t="s">
        <v>9802</v>
      </c>
      <c r="M884" s="3" t="s">
        <v>8273</v>
      </c>
      <c r="O884" s="3" t="s">
        <v>114</v>
      </c>
      <c r="P884" s="3" t="s">
        <v>9803</v>
      </c>
      <c r="R884" s="3" t="s">
        <v>68</v>
      </c>
      <c r="S884" s="4">
        <v>4</v>
      </c>
      <c r="T884" s="4">
        <v>4</v>
      </c>
      <c r="U884" s="5" t="s">
        <v>9804</v>
      </c>
      <c r="V884" s="5" t="s">
        <v>9804</v>
      </c>
      <c r="W884" s="5" t="s">
        <v>9805</v>
      </c>
      <c r="X884" s="5" t="s">
        <v>9805</v>
      </c>
      <c r="Y884" s="4">
        <v>197</v>
      </c>
      <c r="Z884" s="4">
        <v>179</v>
      </c>
      <c r="AA884" s="4">
        <v>179</v>
      </c>
      <c r="AB884" s="4">
        <v>3</v>
      </c>
      <c r="AC884" s="4">
        <v>3</v>
      </c>
      <c r="AD884" s="4">
        <v>7</v>
      </c>
      <c r="AE884" s="4">
        <v>7</v>
      </c>
      <c r="AF884" s="4">
        <v>0</v>
      </c>
      <c r="AG884" s="4">
        <v>0</v>
      </c>
      <c r="AH884" s="4">
        <v>2</v>
      </c>
      <c r="AI884" s="4">
        <v>2</v>
      </c>
      <c r="AJ884" s="4">
        <v>3</v>
      </c>
      <c r="AK884" s="4">
        <v>3</v>
      </c>
      <c r="AL884" s="4">
        <v>2</v>
      </c>
      <c r="AM884" s="4">
        <v>2</v>
      </c>
      <c r="AN884" s="4">
        <v>0</v>
      </c>
      <c r="AO884" s="4">
        <v>0</v>
      </c>
      <c r="AP884" s="3" t="s">
        <v>61</v>
      </c>
      <c r="AQ884" s="3" t="s">
        <v>61</v>
      </c>
      <c r="AS884" s="6" t="str">
        <f>HYPERLINK("https://creighton-primo.hosted.exlibrisgroup.com/primo-explore/search?tab=default_tab&amp;search_scope=EVERYTHING&amp;vid=01CRU&amp;lang=en_US&amp;offset=0&amp;query=any,contains,991003646009702656","Catalog Record")</f>
        <v>Catalog Record</v>
      </c>
      <c r="AT884" s="6" t="str">
        <f>HYPERLINK("http://www.worldcat.org/oclc/1247200","WorldCat Record")</f>
        <v>WorldCat Record</v>
      </c>
      <c r="AU884" s="3" t="s">
        <v>9806</v>
      </c>
      <c r="AV884" s="3" t="s">
        <v>9807</v>
      </c>
      <c r="AW884" s="3" t="s">
        <v>9808</v>
      </c>
      <c r="AX884" s="3" t="s">
        <v>9808</v>
      </c>
      <c r="AY884" s="3" t="s">
        <v>9809</v>
      </c>
      <c r="AZ884" s="3" t="s">
        <v>75</v>
      </c>
      <c r="BC884" s="3" t="s">
        <v>9810</v>
      </c>
      <c r="BD884" s="3" t="s">
        <v>9811</v>
      </c>
    </row>
    <row r="885" spans="1:56" ht="44.25" customHeight="1" x14ac:dyDescent="0.25">
      <c r="A885" s="7" t="s">
        <v>61</v>
      </c>
      <c r="B885" s="2" t="s">
        <v>9812</v>
      </c>
      <c r="C885" s="2" t="s">
        <v>9813</v>
      </c>
      <c r="D885" s="2" t="s">
        <v>9814</v>
      </c>
      <c r="F885" s="3" t="s">
        <v>61</v>
      </c>
      <c r="G885" s="3" t="s">
        <v>60</v>
      </c>
      <c r="H885" s="3" t="s">
        <v>61</v>
      </c>
      <c r="I885" s="3" t="s">
        <v>61</v>
      </c>
      <c r="J885" s="3" t="s">
        <v>62</v>
      </c>
      <c r="K885" s="2" t="s">
        <v>9815</v>
      </c>
      <c r="L885" s="2" t="s">
        <v>9816</v>
      </c>
      <c r="M885" s="3" t="s">
        <v>113</v>
      </c>
      <c r="O885" s="3" t="s">
        <v>114</v>
      </c>
      <c r="P885" s="3" t="s">
        <v>2982</v>
      </c>
      <c r="Q885" s="2" t="s">
        <v>9817</v>
      </c>
      <c r="R885" s="3" t="s">
        <v>68</v>
      </c>
      <c r="S885" s="4">
        <v>8</v>
      </c>
      <c r="T885" s="4">
        <v>8</v>
      </c>
      <c r="U885" s="5" t="s">
        <v>5263</v>
      </c>
      <c r="V885" s="5" t="s">
        <v>5263</v>
      </c>
      <c r="W885" s="5" t="s">
        <v>8774</v>
      </c>
      <c r="X885" s="5" t="s">
        <v>8774</v>
      </c>
      <c r="Y885" s="4">
        <v>204</v>
      </c>
      <c r="Z885" s="4">
        <v>131</v>
      </c>
      <c r="AA885" s="4">
        <v>189</v>
      </c>
      <c r="AB885" s="4">
        <v>3</v>
      </c>
      <c r="AC885" s="4">
        <v>3</v>
      </c>
      <c r="AD885" s="4">
        <v>7</v>
      </c>
      <c r="AE885" s="4">
        <v>8</v>
      </c>
      <c r="AF885" s="4">
        <v>1</v>
      </c>
      <c r="AG885" s="4">
        <v>1</v>
      </c>
      <c r="AH885" s="4">
        <v>1</v>
      </c>
      <c r="AI885" s="4">
        <v>1</v>
      </c>
      <c r="AJ885" s="4">
        <v>4</v>
      </c>
      <c r="AK885" s="4">
        <v>5</v>
      </c>
      <c r="AL885" s="4">
        <v>2</v>
      </c>
      <c r="AM885" s="4">
        <v>2</v>
      </c>
      <c r="AN885" s="4">
        <v>0</v>
      </c>
      <c r="AO885" s="4">
        <v>0</v>
      </c>
      <c r="AP885" s="3" t="s">
        <v>61</v>
      </c>
      <c r="AQ885" s="3" t="s">
        <v>59</v>
      </c>
      <c r="AR885" s="6" t="str">
        <f>HYPERLINK("http://catalog.hathitrust.org/Record/000492883","HathiTrust Record")</f>
        <v>HathiTrust Record</v>
      </c>
      <c r="AS885" s="6" t="str">
        <f>HYPERLINK("https://creighton-primo.hosted.exlibrisgroup.com/primo-explore/search?tab=default_tab&amp;search_scope=EVERYTHING&amp;vid=01CRU&amp;lang=en_US&amp;offset=0&amp;query=any,contains,991003932439702656","Catalog Record")</f>
        <v>Catalog Record</v>
      </c>
      <c r="AT885" s="6" t="str">
        <f>HYPERLINK("http://www.worldcat.org/oclc/1902771","WorldCat Record")</f>
        <v>WorldCat Record</v>
      </c>
      <c r="AU885" s="3" t="s">
        <v>9818</v>
      </c>
      <c r="AV885" s="3" t="s">
        <v>9819</v>
      </c>
      <c r="AW885" s="3" t="s">
        <v>9820</v>
      </c>
      <c r="AX885" s="3" t="s">
        <v>9820</v>
      </c>
      <c r="AY885" s="3" t="s">
        <v>9821</v>
      </c>
      <c r="AZ885" s="3" t="s">
        <v>75</v>
      </c>
      <c r="BC885" s="3" t="s">
        <v>9822</v>
      </c>
      <c r="BD885" s="3" t="s">
        <v>9823</v>
      </c>
    </row>
    <row r="886" spans="1:56" ht="44.25" customHeight="1" x14ac:dyDescent="0.25">
      <c r="A886" s="7" t="s">
        <v>61</v>
      </c>
      <c r="B886" s="2" t="s">
        <v>9824</v>
      </c>
      <c r="C886" s="2" t="s">
        <v>9825</v>
      </c>
      <c r="D886" s="2" t="s">
        <v>9826</v>
      </c>
      <c r="F886" s="3" t="s">
        <v>61</v>
      </c>
      <c r="G886" s="3" t="s">
        <v>60</v>
      </c>
      <c r="H886" s="3" t="s">
        <v>61</v>
      </c>
      <c r="I886" s="3" t="s">
        <v>61</v>
      </c>
      <c r="J886" s="3" t="s">
        <v>62</v>
      </c>
      <c r="K886" s="2" t="s">
        <v>9827</v>
      </c>
      <c r="L886" s="2" t="s">
        <v>9828</v>
      </c>
      <c r="M886" s="3" t="s">
        <v>379</v>
      </c>
      <c r="O886" s="3" t="s">
        <v>114</v>
      </c>
      <c r="P886" s="3" t="s">
        <v>619</v>
      </c>
      <c r="R886" s="3" t="s">
        <v>68</v>
      </c>
      <c r="S886" s="4">
        <v>4</v>
      </c>
      <c r="T886" s="4">
        <v>4</v>
      </c>
      <c r="U886" s="5" t="s">
        <v>9829</v>
      </c>
      <c r="V886" s="5" t="s">
        <v>9829</v>
      </c>
      <c r="W886" s="5" t="s">
        <v>9830</v>
      </c>
      <c r="X886" s="5" t="s">
        <v>9830</v>
      </c>
      <c r="Y886" s="4">
        <v>908</v>
      </c>
      <c r="Z886" s="4">
        <v>891</v>
      </c>
      <c r="AA886" s="4">
        <v>941</v>
      </c>
      <c r="AB886" s="4">
        <v>7</v>
      </c>
      <c r="AC886" s="4">
        <v>7</v>
      </c>
      <c r="AD886" s="4">
        <v>27</v>
      </c>
      <c r="AE886" s="4">
        <v>27</v>
      </c>
      <c r="AF886" s="4">
        <v>14</v>
      </c>
      <c r="AG886" s="4">
        <v>14</v>
      </c>
      <c r="AH886" s="4">
        <v>5</v>
      </c>
      <c r="AI886" s="4">
        <v>5</v>
      </c>
      <c r="AJ886" s="4">
        <v>7</v>
      </c>
      <c r="AK886" s="4">
        <v>7</v>
      </c>
      <c r="AL886" s="4">
        <v>5</v>
      </c>
      <c r="AM886" s="4">
        <v>5</v>
      </c>
      <c r="AN886" s="4">
        <v>1</v>
      </c>
      <c r="AO886" s="4">
        <v>1</v>
      </c>
      <c r="AP886" s="3" t="s">
        <v>61</v>
      </c>
      <c r="AQ886" s="3" t="s">
        <v>59</v>
      </c>
      <c r="AR886" s="6" t="str">
        <f>HYPERLINK("http://catalog.hathitrust.org/Record/003519434","HathiTrust Record")</f>
        <v>HathiTrust Record</v>
      </c>
      <c r="AS886" s="6" t="str">
        <f>HYPERLINK("https://creighton-primo.hosted.exlibrisgroup.com/primo-explore/search?tab=default_tab&amp;search_scope=EVERYTHING&amp;vid=01CRU&amp;lang=en_US&amp;offset=0&amp;query=any,contains,991003340909702656","Catalog Record")</f>
        <v>Catalog Record</v>
      </c>
      <c r="AT886" s="6" t="str">
        <f>HYPERLINK("http://www.worldcat.org/oclc/44090540","WorldCat Record")</f>
        <v>WorldCat Record</v>
      </c>
      <c r="AU886" s="3" t="s">
        <v>9831</v>
      </c>
      <c r="AV886" s="3" t="s">
        <v>9832</v>
      </c>
      <c r="AW886" s="3" t="s">
        <v>9833</v>
      </c>
      <c r="AX886" s="3" t="s">
        <v>9833</v>
      </c>
      <c r="AY886" s="3" t="s">
        <v>9834</v>
      </c>
      <c r="AZ886" s="3" t="s">
        <v>75</v>
      </c>
      <c r="BB886" s="3" t="s">
        <v>9835</v>
      </c>
      <c r="BC886" s="3" t="s">
        <v>9836</v>
      </c>
      <c r="BD886" s="3" t="s">
        <v>9837</v>
      </c>
    </row>
    <row r="887" spans="1:56" ht="44.25" customHeight="1" x14ac:dyDescent="0.25">
      <c r="A887" s="7" t="s">
        <v>61</v>
      </c>
      <c r="B887" s="2" t="s">
        <v>9838</v>
      </c>
      <c r="C887" s="2" t="s">
        <v>9839</v>
      </c>
      <c r="D887" s="2" t="s">
        <v>9840</v>
      </c>
      <c r="F887" s="3" t="s">
        <v>61</v>
      </c>
      <c r="G887" s="3" t="s">
        <v>60</v>
      </c>
      <c r="H887" s="3" t="s">
        <v>61</v>
      </c>
      <c r="I887" s="3" t="s">
        <v>61</v>
      </c>
      <c r="J887" s="3" t="s">
        <v>62</v>
      </c>
      <c r="L887" s="2" t="s">
        <v>9841</v>
      </c>
      <c r="M887" s="3" t="s">
        <v>379</v>
      </c>
      <c r="O887" s="3" t="s">
        <v>114</v>
      </c>
      <c r="P887" s="3" t="s">
        <v>2784</v>
      </c>
      <c r="Q887" s="2" t="s">
        <v>9842</v>
      </c>
      <c r="R887" s="3" t="s">
        <v>68</v>
      </c>
      <c r="S887" s="4">
        <v>3</v>
      </c>
      <c r="T887" s="4">
        <v>3</v>
      </c>
      <c r="U887" s="5" t="s">
        <v>9843</v>
      </c>
      <c r="V887" s="5" t="s">
        <v>9843</v>
      </c>
      <c r="W887" s="5" t="s">
        <v>9844</v>
      </c>
      <c r="X887" s="5" t="s">
        <v>9844</v>
      </c>
      <c r="Y887" s="4">
        <v>602</v>
      </c>
      <c r="Z887" s="4">
        <v>599</v>
      </c>
      <c r="AA887" s="4">
        <v>599</v>
      </c>
      <c r="AB887" s="4">
        <v>5</v>
      </c>
      <c r="AC887" s="4">
        <v>5</v>
      </c>
      <c r="AD887" s="4">
        <v>26</v>
      </c>
      <c r="AE887" s="4">
        <v>26</v>
      </c>
      <c r="AF887" s="4">
        <v>10</v>
      </c>
      <c r="AG887" s="4">
        <v>10</v>
      </c>
      <c r="AH887" s="4">
        <v>5</v>
      </c>
      <c r="AI887" s="4">
        <v>5</v>
      </c>
      <c r="AJ887" s="4">
        <v>15</v>
      </c>
      <c r="AK887" s="4">
        <v>15</v>
      </c>
      <c r="AL887" s="4">
        <v>3</v>
      </c>
      <c r="AM887" s="4">
        <v>3</v>
      </c>
      <c r="AN887" s="4">
        <v>0</v>
      </c>
      <c r="AO887" s="4">
        <v>0</v>
      </c>
      <c r="AP887" s="3" t="s">
        <v>61</v>
      </c>
      <c r="AQ887" s="3" t="s">
        <v>61</v>
      </c>
      <c r="AS887" s="6" t="str">
        <f>HYPERLINK("https://creighton-primo.hosted.exlibrisgroup.com/primo-explore/search?tab=default_tab&amp;search_scope=EVERYTHING&amp;vid=01CRU&amp;lang=en_US&amp;offset=0&amp;query=any,contains,991003464579702656","Catalog Record")</f>
        <v>Catalog Record</v>
      </c>
      <c r="AT887" s="6" t="str">
        <f>HYPERLINK("http://www.worldcat.org/oclc/45695352","WorldCat Record")</f>
        <v>WorldCat Record</v>
      </c>
      <c r="AU887" s="3" t="s">
        <v>9845</v>
      </c>
      <c r="AV887" s="3" t="s">
        <v>9846</v>
      </c>
      <c r="AW887" s="3" t="s">
        <v>9847</v>
      </c>
      <c r="AX887" s="3" t="s">
        <v>9847</v>
      </c>
      <c r="AY887" s="3" t="s">
        <v>9848</v>
      </c>
      <c r="AZ887" s="3" t="s">
        <v>75</v>
      </c>
      <c r="BB887" s="3" t="s">
        <v>9849</v>
      </c>
      <c r="BC887" s="3" t="s">
        <v>9850</v>
      </c>
      <c r="BD887" s="3" t="s">
        <v>9851</v>
      </c>
    </row>
    <row r="888" spans="1:56" ht="44.25" customHeight="1" x14ac:dyDescent="0.25">
      <c r="A888" s="7" t="s">
        <v>61</v>
      </c>
      <c r="B888" s="2" t="s">
        <v>9852</v>
      </c>
      <c r="C888" s="2" t="s">
        <v>9853</v>
      </c>
      <c r="D888" s="2" t="s">
        <v>9854</v>
      </c>
      <c r="F888" s="3" t="s">
        <v>61</v>
      </c>
      <c r="G888" s="3" t="s">
        <v>60</v>
      </c>
      <c r="H888" s="3" t="s">
        <v>61</v>
      </c>
      <c r="I888" s="3" t="s">
        <v>61</v>
      </c>
      <c r="J888" s="3" t="s">
        <v>62</v>
      </c>
      <c r="L888" s="2" t="s">
        <v>9855</v>
      </c>
      <c r="M888" s="3" t="s">
        <v>1870</v>
      </c>
      <c r="O888" s="3" t="s">
        <v>114</v>
      </c>
      <c r="P888" s="3" t="s">
        <v>2351</v>
      </c>
      <c r="R888" s="3" t="s">
        <v>68</v>
      </c>
      <c r="S888" s="4">
        <v>2</v>
      </c>
      <c r="T888" s="4">
        <v>2</v>
      </c>
      <c r="U888" s="5" t="s">
        <v>9856</v>
      </c>
      <c r="V888" s="5" t="s">
        <v>9856</v>
      </c>
      <c r="W888" s="5" t="s">
        <v>9857</v>
      </c>
      <c r="X888" s="5" t="s">
        <v>9857</v>
      </c>
      <c r="Y888" s="4">
        <v>300</v>
      </c>
      <c r="Z888" s="4">
        <v>176</v>
      </c>
      <c r="AA888" s="4">
        <v>381</v>
      </c>
      <c r="AB888" s="4">
        <v>4</v>
      </c>
      <c r="AC888" s="4">
        <v>4</v>
      </c>
      <c r="AD888" s="4">
        <v>10</v>
      </c>
      <c r="AE888" s="4">
        <v>23</v>
      </c>
      <c r="AF888" s="4">
        <v>2</v>
      </c>
      <c r="AG888" s="4">
        <v>10</v>
      </c>
      <c r="AH888" s="4">
        <v>3</v>
      </c>
      <c r="AI888" s="4">
        <v>6</v>
      </c>
      <c r="AJ888" s="4">
        <v>6</v>
      </c>
      <c r="AK888" s="4">
        <v>12</v>
      </c>
      <c r="AL888" s="4">
        <v>3</v>
      </c>
      <c r="AM888" s="4">
        <v>3</v>
      </c>
      <c r="AN888" s="4">
        <v>0</v>
      </c>
      <c r="AO888" s="4">
        <v>0</v>
      </c>
      <c r="AP888" s="3" t="s">
        <v>61</v>
      </c>
      <c r="AQ888" s="3" t="s">
        <v>61</v>
      </c>
      <c r="AS888" s="6" t="str">
        <f>HYPERLINK("https://creighton-primo.hosted.exlibrisgroup.com/primo-explore/search?tab=default_tab&amp;search_scope=EVERYTHING&amp;vid=01CRU&amp;lang=en_US&amp;offset=0&amp;query=any,contains,991002367179702656","Catalog Record")</f>
        <v>Catalog Record</v>
      </c>
      <c r="AT888" s="6" t="str">
        <f>HYPERLINK("http://www.worldcat.org/oclc/30777177","WorldCat Record")</f>
        <v>WorldCat Record</v>
      </c>
      <c r="AU888" s="3" t="s">
        <v>9858</v>
      </c>
      <c r="AV888" s="3" t="s">
        <v>9859</v>
      </c>
      <c r="AW888" s="3" t="s">
        <v>9860</v>
      </c>
      <c r="AX888" s="3" t="s">
        <v>9860</v>
      </c>
      <c r="AY888" s="3" t="s">
        <v>9861</v>
      </c>
      <c r="AZ888" s="3" t="s">
        <v>75</v>
      </c>
      <c r="BB888" s="3" t="s">
        <v>9862</v>
      </c>
      <c r="BC888" s="3" t="s">
        <v>9863</v>
      </c>
      <c r="BD888" s="3" t="s">
        <v>9864</v>
      </c>
    </row>
    <row r="889" spans="1:56" ht="44.25" customHeight="1" x14ac:dyDescent="0.25">
      <c r="A889" s="7" t="s">
        <v>61</v>
      </c>
      <c r="B889" s="2" t="s">
        <v>9865</v>
      </c>
      <c r="C889" s="2" t="s">
        <v>9866</v>
      </c>
      <c r="D889" s="2" t="s">
        <v>9867</v>
      </c>
      <c r="F889" s="3" t="s">
        <v>61</v>
      </c>
      <c r="G889" s="3" t="s">
        <v>60</v>
      </c>
      <c r="H889" s="3" t="s">
        <v>61</v>
      </c>
      <c r="I889" s="3" t="s">
        <v>61</v>
      </c>
      <c r="J889" s="3" t="s">
        <v>62</v>
      </c>
      <c r="K889" s="2" t="s">
        <v>9868</v>
      </c>
      <c r="L889" s="2" t="s">
        <v>9869</v>
      </c>
      <c r="M889" s="3" t="s">
        <v>1758</v>
      </c>
      <c r="N889" s="2" t="s">
        <v>9870</v>
      </c>
      <c r="O889" s="3" t="s">
        <v>114</v>
      </c>
      <c r="P889" s="3" t="s">
        <v>2968</v>
      </c>
      <c r="Q889" s="2" t="s">
        <v>7696</v>
      </c>
      <c r="R889" s="3" t="s">
        <v>68</v>
      </c>
      <c r="S889" s="4">
        <v>29</v>
      </c>
      <c r="T889" s="4">
        <v>29</v>
      </c>
      <c r="U889" s="5" t="s">
        <v>9871</v>
      </c>
      <c r="V889" s="5" t="s">
        <v>9871</v>
      </c>
      <c r="W889" s="5" t="s">
        <v>9872</v>
      </c>
      <c r="X889" s="5" t="s">
        <v>9872</v>
      </c>
      <c r="Y889" s="4">
        <v>183</v>
      </c>
      <c r="Z889" s="4">
        <v>178</v>
      </c>
      <c r="AA889" s="4">
        <v>2286</v>
      </c>
      <c r="AB889" s="4">
        <v>2</v>
      </c>
      <c r="AC889" s="4">
        <v>19</v>
      </c>
      <c r="AD889" s="4">
        <v>2</v>
      </c>
      <c r="AE889" s="4">
        <v>26</v>
      </c>
      <c r="AF889" s="4">
        <v>2</v>
      </c>
      <c r="AG889" s="4">
        <v>11</v>
      </c>
      <c r="AH889" s="4">
        <v>0</v>
      </c>
      <c r="AI889" s="4">
        <v>4</v>
      </c>
      <c r="AJ889" s="4">
        <v>1</v>
      </c>
      <c r="AK889" s="4">
        <v>14</v>
      </c>
      <c r="AL889" s="4">
        <v>0</v>
      </c>
      <c r="AM889" s="4">
        <v>3</v>
      </c>
      <c r="AN889" s="4">
        <v>0</v>
      </c>
      <c r="AO889" s="4">
        <v>0</v>
      </c>
      <c r="AP889" s="3" t="s">
        <v>61</v>
      </c>
      <c r="AQ889" s="3" t="s">
        <v>61</v>
      </c>
      <c r="AS889" s="6" t="str">
        <f>HYPERLINK("https://creighton-primo.hosted.exlibrisgroup.com/primo-explore/search?tab=default_tab&amp;search_scope=EVERYTHING&amp;vid=01CRU&amp;lang=en_US&amp;offset=0&amp;query=any,contains,991000249399702656","Catalog Record")</f>
        <v>Catalog Record</v>
      </c>
      <c r="AT889" s="6" t="str">
        <f>HYPERLINK("http://www.worldcat.org/oclc/9740626","WorldCat Record")</f>
        <v>WorldCat Record</v>
      </c>
      <c r="AU889" s="3" t="s">
        <v>9873</v>
      </c>
      <c r="AV889" s="3" t="s">
        <v>9874</v>
      </c>
      <c r="AW889" s="3" t="s">
        <v>9875</v>
      </c>
      <c r="AX889" s="3" t="s">
        <v>9875</v>
      </c>
      <c r="AY889" s="3" t="s">
        <v>9876</v>
      </c>
      <c r="AZ889" s="3" t="s">
        <v>75</v>
      </c>
      <c r="BC889" s="3" t="s">
        <v>9877</v>
      </c>
      <c r="BD889" s="3" t="s">
        <v>9878</v>
      </c>
    </row>
    <row r="890" spans="1:56" ht="44.25" customHeight="1" x14ac:dyDescent="0.25">
      <c r="A890" s="7" t="s">
        <v>61</v>
      </c>
      <c r="B890" s="2" t="s">
        <v>9879</v>
      </c>
      <c r="C890" s="2" t="s">
        <v>9880</v>
      </c>
      <c r="D890" s="2" t="s">
        <v>9881</v>
      </c>
      <c r="F890" s="3" t="s">
        <v>61</v>
      </c>
      <c r="G890" s="3" t="s">
        <v>60</v>
      </c>
      <c r="H890" s="3" t="s">
        <v>61</v>
      </c>
      <c r="I890" s="3" t="s">
        <v>61</v>
      </c>
      <c r="J890" s="3" t="s">
        <v>62</v>
      </c>
      <c r="K890" s="2" t="s">
        <v>9882</v>
      </c>
      <c r="L890" s="2" t="s">
        <v>9883</v>
      </c>
      <c r="M890" s="3" t="s">
        <v>784</v>
      </c>
      <c r="N890" s="2" t="s">
        <v>306</v>
      </c>
      <c r="O890" s="3" t="s">
        <v>114</v>
      </c>
      <c r="P890" s="3" t="s">
        <v>235</v>
      </c>
      <c r="R890" s="3" t="s">
        <v>68</v>
      </c>
      <c r="S890" s="4">
        <v>4</v>
      </c>
      <c r="T890" s="4">
        <v>4</v>
      </c>
      <c r="U890" s="5" t="s">
        <v>9884</v>
      </c>
      <c r="V890" s="5" t="s">
        <v>9884</v>
      </c>
      <c r="W890" s="5" t="s">
        <v>9885</v>
      </c>
      <c r="X890" s="5" t="s">
        <v>9885</v>
      </c>
      <c r="Y890" s="4">
        <v>776</v>
      </c>
      <c r="Z890" s="4">
        <v>742</v>
      </c>
      <c r="AA890" s="4">
        <v>833</v>
      </c>
      <c r="AB890" s="4">
        <v>7</v>
      </c>
      <c r="AC890" s="4">
        <v>7</v>
      </c>
      <c r="AD890" s="4">
        <v>31</v>
      </c>
      <c r="AE890" s="4">
        <v>34</v>
      </c>
      <c r="AF890" s="4">
        <v>13</v>
      </c>
      <c r="AG890" s="4">
        <v>13</v>
      </c>
      <c r="AH890" s="4">
        <v>8</v>
      </c>
      <c r="AI890" s="4">
        <v>8</v>
      </c>
      <c r="AJ890" s="4">
        <v>13</v>
      </c>
      <c r="AK890" s="4">
        <v>16</v>
      </c>
      <c r="AL890" s="4">
        <v>6</v>
      </c>
      <c r="AM890" s="4">
        <v>6</v>
      </c>
      <c r="AN890" s="4">
        <v>0</v>
      </c>
      <c r="AO890" s="4">
        <v>0</v>
      </c>
      <c r="AP890" s="3" t="s">
        <v>61</v>
      </c>
      <c r="AQ890" s="3" t="s">
        <v>59</v>
      </c>
      <c r="AR890" s="6" t="str">
        <f>HYPERLINK("http://catalog.hathitrust.org/Record/000490949","HathiTrust Record")</f>
        <v>HathiTrust Record</v>
      </c>
      <c r="AS890" s="6" t="str">
        <f>HYPERLINK("https://creighton-primo.hosted.exlibrisgroup.com/primo-explore/search?tab=default_tab&amp;search_scope=EVERYTHING&amp;vid=01CRU&amp;lang=en_US&amp;offset=0&amp;query=any,contains,991002665299702656","Catalog Record")</f>
        <v>Catalog Record</v>
      </c>
      <c r="AT890" s="6" t="str">
        <f>HYPERLINK("http://www.worldcat.org/oclc/392960","WorldCat Record")</f>
        <v>WorldCat Record</v>
      </c>
      <c r="AU890" s="3" t="s">
        <v>9886</v>
      </c>
      <c r="AV890" s="3" t="s">
        <v>9887</v>
      </c>
      <c r="AW890" s="3" t="s">
        <v>9888</v>
      </c>
      <c r="AX890" s="3" t="s">
        <v>9888</v>
      </c>
      <c r="AY890" s="3" t="s">
        <v>9889</v>
      </c>
      <c r="AZ890" s="3" t="s">
        <v>75</v>
      </c>
      <c r="BC890" s="3" t="s">
        <v>9890</v>
      </c>
      <c r="BD890" s="3" t="s">
        <v>9891</v>
      </c>
    </row>
    <row r="891" spans="1:56" ht="44.25" customHeight="1" x14ac:dyDescent="0.25">
      <c r="A891" s="7" t="s">
        <v>61</v>
      </c>
      <c r="B891" s="2" t="s">
        <v>9892</v>
      </c>
      <c r="C891" s="2" t="s">
        <v>9893</v>
      </c>
      <c r="D891" s="2" t="s">
        <v>9894</v>
      </c>
      <c r="F891" s="3" t="s">
        <v>61</v>
      </c>
      <c r="G891" s="3" t="s">
        <v>60</v>
      </c>
      <c r="H891" s="3" t="s">
        <v>61</v>
      </c>
      <c r="I891" s="3" t="s">
        <v>61</v>
      </c>
      <c r="J891" s="3" t="s">
        <v>62</v>
      </c>
      <c r="K891" s="2" t="s">
        <v>9895</v>
      </c>
      <c r="L891" s="2" t="s">
        <v>9896</v>
      </c>
      <c r="M891" s="3" t="s">
        <v>305</v>
      </c>
      <c r="O891" s="3" t="s">
        <v>114</v>
      </c>
      <c r="P891" s="3" t="s">
        <v>235</v>
      </c>
      <c r="R891" s="3" t="s">
        <v>68</v>
      </c>
      <c r="S891" s="4">
        <v>3</v>
      </c>
      <c r="T891" s="4">
        <v>3</v>
      </c>
      <c r="U891" s="5" t="s">
        <v>9897</v>
      </c>
      <c r="V891" s="5" t="s">
        <v>9897</v>
      </c>
      <c r="W891" s="5" t="s">
        <v>6469</v>
      </c>
      <c r="X891" s="5" t="s">
        <v>6469</v>
      </c>
      <c r="Y891" s="4">
        <v>976</v>
      </c>
      <c r="Z891" s="4">
        <v>921</v>
      </c>
      <c r="AA891" s="4">
        <v>1271</v>
      </c>
      <c r="AB891" s="4">
        <v>7</v>
      </c>
      <c r="AC891" s="4">
        <v>10</v>
      </c>
      <c r="AD891" s="4">
        <v>34</v>
      </c>
      <c r="AE891" s="4">
        <v>41</v>
      </c>
      <c r="AF891" s="4">
        <v>16</v>
      </c>
      <c r="AG891" s="4">
        <v>17</v>
      </c>
      <c r="AH891" s="4">
        <v>9</v>
      </c>
      <c r="AI891" s="4">
        <v>10</v>
      </c>
      <c r="AJ891" s="4">
        <v>11</v>
      </c>
      <c r="AK891" s="4">
        <v>15</v>
      </c>
      <c r="AL891" s="4">
        <v>5</v>
      </c>
      <c r="AM891" s="4">
        <v>8</v>
      </c>
      <c r="AN891" s="4">
        <v>0</v>
      </c>
      <c r="AO891" s="4">
        <v>0</v>
      </c>
      <c r="AP891" s="3" t="s">
        <v>61</v>
      </c>
      <c r="AQ891" s="3" t="s">
        <v>59</v>
      </c>
      <c r="AR891" s="6" t="str">
        <f>HYPERLINK("http://catalog.hathitrust.org/Record/000490951","HathiTrust Record")</f>
        <v>HathiTrust Record</v>
      </c>
      <c r="AS891" s="6" t="str">
        <f>HYPERLINK("https://creighton-primo.hosted.exlibrisgroup.com/primo-explore/search?tab=default_tab&amp;search_scope=EVERYTHING&amp;vid=01CRU&amp;lang=en_US&amp;offset=0&amp;query=any,contains,991002504249702656","Catalog Record")</f>
        <v>Catalog Record</v>
      </c>
      <c r="AT891" s="6" t="str">
        <f>HYPERLINK("http://www.worldcat.org/oclc/364670","WorldCat Record")</f>
        <v>WorldCat Record</v>
      </c>
      <c r="AU891" s="3" t="s">
        <v>9898</v>
      </c>
      <c r="AV891" s="3" t="s">
        <v>9899</v>
      </c>
      <c r="AW891" s="3" t="s">
        <v>9900</v>
      </c>
      <c r="AX891" s="3" t="s">
        <v>9900</v>
      </c>
      <c r="AY891" s="3" t="s">
        <v>9901</v>
      </c>
      <c r="AZ891" s="3" t="s">
        <v>75</v>
      </c>
      <c r="BC891" s="3" t="s">
        <v>9902</v>
      </c>
      <c r="BD891" s="3" t="s">
        <v>9903</v>
      </c>
    </row>
    <row r="892" spans="1:56" ht="44.25" customHeight="1" x14ac:dyDescent="0.25">
      <c r="A892" s="7" t="s">
        <v>61</v>
      </c>
      <c r="B892" s="2" t="s">
        <v>9904</v>
      </c>
      <c r="C892" s="2" t="s">
        <v>9905</v>
      </c>
      <c r="D892" s="2" t="s">
        <v>9906</v>
      </c>
      <c r="F892" s="3" t="s">
        <v>61</v>
      </c>
      <c r="G892" s="3" t="s">
        <v>60</v>
      </c>
      <c r="H892" s="3" t="s">
        <v>61</v>
      </c>
      <c r="I892" s="3" t="s">
        <v>61</v>
      </c>
      <c r="J892" s="3" t="s">
        <v>62</v>
      </c>
      <c r="K892" s="2" t="s">
        <v>9907</v>
      </c>
      <c r="L892" s="2" t="s">
        <v>9908</v>
      </c>
      <c r="M892" s="3" t="s">
        <v>451</v>
      </c>
      <c r="O892" s="3" t="s">
        <v>114</v>
      </c>
      <c r="P892" s="3" t="s">
        <v>649</v>
      </c>
      <c r="Q892" s="2" t="s">
        <v>9909</v>
      </c>
      <c r="R892" s="3" t="s">
        <v>68</v>
      </c>
      <c r="S892" s="4">
        <v>2</v>
      </c>
      <c r="T892" s="4">
        <v>2</v>
      </c>
      <c r="U892" s="5" t="s">
        <v>9910</v>
      </c>
      <c r="V892" s="5" t="s">
        <v>9910</v>
      </c>
      <c r="W892" s="5" t="s">
        <v>9911</v>
      </c>
      <c r="X892" s="5" t="s">
        <v>9911</v>
      </c>
      <c r="Y892" s="4">
        <v>184</v>
      </c>
      <c r="Z892" s="4">
        <v>170</v>
      </c>
      <c r="AA892" s="4">
        <v>233</v>
      </c>
      <c r="AB892" s="4">
        <v>2</v>
      </c>
      <c r="AC892" s="4">
        <v>2</v>
      </c>
      <c r="AD892" s="4">
        <v>5</v>
      </c>
      <c r="AE892" s="4">
        <v>6</v>
      </c>
      <c r="AF892" s="4">
        <v>2</v>
      </c>
      <c r="AG892" s="4">
        <v>2</v>
      </c>
      <c r="AH892" s="4">
        <v>2</v>
      </c>
      <c r="AI892" s="4">
        <v>2</v>
      </c>
      <c r="AJ892" s="4">
        <v>2</v>
      </c>
      <c r="AK892" s="4">
        <v>3</v>
      </c>
      <c r="AL892" s="4">
        <v>1</v>
      </c>
      <c r="AM892" s="4">
        <v>1</v>
      </c>
      <c r="AN892" s="4">
        <v>0</v>
      </c>
      <c r="AO892" s="4">
        <v>0</v>
      </c>
      <c r="AP892" s="3" t="s">
        <v>61</v>
      </c>
      <c r="AQ892" s="3" t="s">
        <v>61</v>
      </c>
      <c r="AS892" s="6" t="str">
        <f>HYPERLINK("https://creighton-primo.hosted.exlibrisgroup.com/primo-explore/search?tab=default_tab&amp;search_scope=EVERYTHING&amp;vid=01CRU&amp;lang=en_US&amp;offset=0&amp;query=any,contains,991003347479702656","Catalog Record")</f>
        <v>Catalog Record</v>
      </c>
      <c r="AT892" s="6" t="str">
        <f>HYPERLINK("http://www.worldcat.org/oclc/41941140","WorldCat Record")</f>
        <v>WorldCat Record</v>
      </c>
      <c r="AU892" s="3" t="s">
        <v>9912</v>
      </c>
      <c r="AV892" s="3" t="s">
        <v>9913</v>
      </c>
      <c r="AW892" s="3" t="s">
        <v>9914</v>
      </c>
      <c r="AX892" s="3" t="s">
        <v>9914</v>
      </c>
      <c r="AY892" s="3" t="s">
        <v>9915</v>
      </c>
      <c r="AZ892" s="3" t="s">
        <v>75</v>
      </c>
      <c r="BB892" s="3" t="s">
        <v>9916</v>
      </c>
      <c r="BC892" s="3" t="s">
        <v>9917</v>
      </c>
      <c r="BD892" s="3" t="s">
        <v>9918</v>
      </c>
    </row>
    <row r="893" spans="1:56" ht="44.25" customHeight="1" x14ac:dyDescent="0.25">
      <c r="A893" s="7" t="s">
        <v>61</v>
      </c>
      <c r="B893" s="2" t="s">
        <v>9919</v>
      </c>
      <c r="C893" s="2" t="s">
        <v>9920</v>
      </c>
      <c r="D893" s="2" t="s">
        <v>9921</v>
      </c>
      <c r="F893" s="3" t="s">
        <v>61</v>
      </c>
      <c r="G893" s="3" t="s">
        <v>60</v>
      </c>
      <c r="H893" s="3" t="s">
        <v>61</v>
      </c>
      <c r="I893" s="3" t="s">
        <v>61</v>
      </c>
      <c r="J893" s="3" t="s">
        <v>62</v>
      </c>
      <c r="K893" s="2" t="s">
        <v>9922</v>
      </c>
      <c r="L893" s="2" t="s">
        <v>9923</v>
      </c>
      <c r="M893" s="3" t="s">
        <v>334</v>
      </c>
      <c r="O893" s="3" t="s">
        <v>114</v>
      </c>
      <c r="P893" s="3" t="s">
        <v>235</v>
      </c>
      <c r="R893" s="3" t="s">
        <v>68</v>
      </c>
      <c r="S893" s="4">
        <v>11</v>
      </c>
      <c r="T893" s="4">
        <v>11</v>
      </c>
      <c r="U893" s="5" t="s">
        <v>9924</v>
      </c>
      <c r="V893" s="5" t="s">
        <v>9924</v>
      </c>
      <c r="W893" s="5" t="s">
        <v>7422</v>
      </c>
      <c r="X893" s="5" t="s">
        <v>7422</v>
      </c>
      <c r="Y893" s="4">
        <v>525</v>
      </c>
      <c r="Z893" s="4">
        <v>491</v>
      </c>
      <c r="AA893" s="4">
        <v>514</v>
      </c>
      <c r="AB893" s="4">
        <v>2</v>
      </c>
      <c r="AC893" s="4">
        <v>2</v>
      </c>
      <c r="AD893" s="4">
        <v>9</v>
      </c>
      <c r="AE893" s="4">
        <v>9</v>
      </c>
      <c r="AF893" s="4">
        <v>3</v>
      </c>
      <c r="AG893" s="4">
        <v>3</v>
      </c>
      <c r="AH893" s="4">
        <v>2</v>
      </c>
      <c r="AI893" s="4">
        <v>2</v>
      </c>
      <c r="AJ893" s="4">
        <v>5</v>
      </c>
      <c r="AK893" s="4">
        <v>5</v>
      </c>
      <c r="AL893" s="4">
        <v>0</v>
      </c>
      <c r="AM893" s="4">
        <v>0</v>
      </c>
      <c r="AN893" s="4">
        <v>0</v>
      </c>
      <c r="AO893" s="4">
        <v>0</v>
      </c>
      <c r="AP893" s="3" t="s">
        <v>61</v>
      </c>
      <c r="AQ893" s="3" t="s">
        <v>59</v>
      </c>
      <c r="AR893" s="6" t="str">
        <f>HYPERLINK("http://catalog.hathitrust.org/Record/000868461","HathiTrust Record")</f>
        <v>HathiTrust Record</v>
      </c>
      <c r="AS893" s="6" t="str">
        <f>HYPERLINK("https://creighton-primo.hosted.exlibrisgroup.com/primo-explore/search?tab=default_tab&amp;search_scope=EVERYTHING&amp;vid=01CRU&amp;lang=en_US&amp;offset=0&amp;query=any,contains,991001074149702656","Catalog Record")</f>
        <v>Catalog Record</v>
      </c>
      <c r="AT893" s="6" t="str">
        <f>HYPERLINK("http://www.worldcat.org/oclc/16004554","WorldCat Record")</f>
        <v>WorldCat Record</v>
      </c>
      <c r="AU893" s="3" t="s">
        <v>9925</v>
      </c>
      <c r="AV893" s="3" t="s">
        <v>9926</v>
      </c>
      <c r="AW893" s="3" t="s">
        <v>9927</v>
      </c>
      <c r="AX893" s="3" t="s">
        <v>9927</v>
      </c>
      <c r="AY893" s="3" t="s">
        <v>9928</v>
      </c>
      <c r="AZ893" s="3" t="s">
        <v>75</v>
      </c>
      <c r="BB893" s="3" t="s">
        <v>9929</v>
      </c>
      <c r="BC893" s="3" t="s">
        <v>9930</v>
      </c>
      <c r="BD893" s="3" t="s">
        <v>9931</v>
      </c>
    </row>
    <row r="894" spans="1:56" ht="44.25" customHeight="1" x14ac:dyDescent="0.25">
      <c r="A894" s="7" t="s">
        <v>61</v>
      </c>
      <c r="B894" s="2" t="s">
        <v>9932</v>
      </c>
      <c r="C894" s="2" t="s">
        <v>9933</v>
      </c>
      <c r="D894" s="2" t="s">
        <v>9934</v>
      </c>
      <c r="F894" s="3" t="s">
        <v>61</v>
      </c>
      <c r="G894" s="3" t="s">
        <v>60</v>
      </c>
      <c r="H894" s="3" t="s">
        <v>61</v>
      </c>
      <c r="I894" s="3" t="s">
        <v>61</v>
      </c>
      <c r="J894" s="3" t="s">
        <v>62</v>
      </c>
      <c r="K894" s="2" t="s">
        <v>7483</v>
      </c>
      <c r="L894" s="2" t="s">
        <v>9935</v>
      </c>
      <c r="M894" s="3" t="s">
        <v>1465</v>
      </c>
      <c r="O894" s="3" t="s">
        <v>114</v>
      </c>
      <c r="P894" s="3" t="s">
        <v>192</v>
      </c>
      <c r="R894" s="3" t="s">
        <v>68</v>
      </c>
      <c r="S894" s="4">
        <v>8</v>
      </c>
      <c r="T894" s="4">
        <v>8</v>
      </c>
      <c r="U894" s="5" t="s">
        <v>9641</v>
      </c>
      <c r="V894" s="5" t="s">
        <v>9641</v>
      </c>
      <c r="W894" s="5" t="s">
        <v>9936</v>
      </c>
      <c r="X894" s="5" t="s">
        <v>9936</v>
      </c>
      <c r="Y894" s="4">
        <v>81</v>
      </c>
      <c r="Z894" s="4">
        <v>64</v>
      </c>
      <c r="AA894" s="4">
        <v>808</v>
      </c>
      <c r="AB894" s="4">
        <v>2</v>
      </c>
      <c r="AC894" s="4">
        <v>7</v>
      </c>
      <c r="AD894" s="4">
        <v>2</v>
      </c>
      <c r="AE894" s="4">
        <v>25</v>
      </c>
      <c r="AF894" s="4">
        <v>0</v>
      </c>
      <c r="AG894" s="4">
        <v>10</v>
      </c>
      <c r="AH894" s="4">
        <v>1</v>
      </c>
      <c r="AI894" s="4">
        <v>7</v>
      </c>
      <c r="AJ894" s="4">
        <v>0</v>
      </c>
      <c r="AK894" s="4">
        <v>9</v>
      </c>
      <c r="AL894" s="4">
        <v>1</v>
      </c>
      <c r="AM894" s="4">
        <v>5</v>
      </c>
      <c r="AN894" s="4">
        <v>0</v>
      </c>
      <c r="AO894" s="4">
        <v>0</v>
      </c>
      <c r="AP894" s="3" t="s">
        <v>61</v>
      </c>
      <c r="AQ894" s="3" t="s">
        <v>61</v>
      </c>
      <c r="AS894" s="6" t="str">
        <f>HYPERLINK("https://creighton-primo.hosted.exlibrisgroup.com/primo-explore/search?tab=default_tab&amp;search_scope=EVERYTHING&amp;vid=01CRU&amp;lang=en_US&amp;offset=0&amp;query=any,contains,991001891269702656","Catalog Record")</f>
        <v>Catalog Record</v>
      </c>
      <c r="AT894" s="6" t="str">
        <f>HYPERLINK("http://www.worldcat.org/oclc/23869626","WorldCat Record")</f>
        <v>WorldCat Record</v>
      </c>
      <c r="AU894" s="3" t="s">
        <v>9937</v>
      </c>
      <c r="AV894" s="3" t="s">
        <v>9938</v>
      </c>
      <c r="AW894" s="3" t="s">
        <v>9939</v>
      </c>
      <c r="AX894" s="3" t="s">
        <v>9939</v>
      </c>
      <c r="AY894" s="3" t="s">
        <v>9940</v>
      </c>
      <c r="AZ894" s="3" t="s">
        <v>75</v>
      </c>
      <c r="BB894" s="3" t="s">
        <v>9941</v>
      </c>
      <c r="BC894" s="3" t="s">
        <v>9942</v>
      </c>
      <c r="BD894" s="3" t="s">
        <v>9943</v>
      </c>
    </row>
    <row r="895" spans="1:56" ht="44.25" customHeight="1" x14ac:dyDescent="0.25">
      <c r="A895" s="7" t="s">
        <v>61</v>
      </c>
      <c r="B895" s="2" t="s">
        <v>9944</v>
      </c>
      <c r="C895" s="2" t="s">
        <v>9945</v>
      </c>
      <c r="D895" s="2" t="s">
        <v>9946</v>
      </c>
      <c r="F895" s="3" t="s">
        <v>61</v>
      </c>
      <c r="G895" s="3" t="s">
        <v>60</v>
      </c>
      <c r="H895" s="3" t="s">
        <v>61</v>
      </c>
      <c r="I895" s="3" t="s">
        <v>61</v>
      </c>
      <c r="J895" s="3" t="s">
        <v>62</v>
      </c>
      <c r="K895" s="2" t="s">
        <v>9947</v>
      </c>
      <c r="L895" s="2" t="s">
        <v>9948</v>
      </c>
      <c r="M895" s="3" t="s">
        <v>536</v>
      </c>
      <c r="O895" s="3" t="s">
        <v>114</v>
      </c>
      <c r="P895" s="3" t="s">
        <v>9949</v>
      </c>
      <c r="R895" s="3" t="s">
        <v>68</v>
      </c>
      <c r="S895" s="4">
        <v>15</v>
      </c>
      <c r="T895" s="4">
        <v>15</v>
      </c>
      <c r="U895" s="5" t="s">
        <v>3941</v>
      </c>
      <c r="V895" s="5" t="s">
        <v>3941</v>
      </c>
      <c r="W895" s="5" t="s">
        <v>9950</v>
      </c>
      <c r="X895" s="5" t="s">
        <v>9950</v>
      </c>
      <c r="Y895" s="4">
        <v>366</v>
      </c>
      <c r="Z895" s="4">
        <v>271</v>
      </c>
      <c r="AA895" s="4">
        <v>404</v>
      </c>
      <c r="AB895" s="4">
        <v>2</v>
      </c>
      <c r="AC895" s="4">
        <v>4</v>
      </c>
      <c r="AD895" s="4">
        <v>12</v>
      </c>
      <c r="AE895" s="4">
        <v>21</v>
      </c>
      <c r="AF895" s="4">
        <v>4</v>
      </c>
      <c r="AG895" s="4">
        <v>7</v>
      </c>
      <c r="AH895" s="4">
        <v>3</v>
      </c>
      <c r="AI895" s="4">
        <v>6</v>
      </c>
      <c r="AJ895" s="4">
        <v>9</v>
      </c>
      <c r="AK895" s="4">
        <v>14</v>
      </c>
      <c r="AL895" s="4">
        <v>1</v>
      </c>
      <c r="AM895" s="4">
        <v>3</v>
      </c>
      <c r="AN895" s="4">
        <v>0</v>
      </c>
      <c r="AO895" s="4">
        <v>0</v>
      </c>
      <c r="AP895" s="3" t="s">
        <v>61</v>
      </c>
      <c r="AQ895" s="3" t="s">
        <v>61</v>
      </c>
      <c r="AS895" s="6" t="str">
        <f>HYPERLINK("https://creighton-primo.hosted.exlibrisgroup.com/primo-explore/search?tab=default_tab&amp;search_scope=EVERYTHING&amp;vid=01CRU&amp;lang=en_US&amp;offset=0&amp;query=any,contains,991005424949702656","Catalog Record")</f>
        <v>Catalog Record</v>
      </c>
      <c r="AT895" s="6" t="str">
        <f>HYPERLINK("http://www.worldcat.org/oclc/35646560","WorldCat Record")</f>
        <v>WorldCat Record</v>
      </c>
      <c r="AU895" s="3" t="s">
        <v>9951</v>
      </c>
      <c r="AV895" s="3" t="s">
        <v>9952</v>
      </c>
      <c r="AW895" s="3" t="s">
        <v>9953</v>
      </c>
      <c r="AX895" s="3" t="s">
        <v>9953</v>
      </c>
      <c r="AY895" s="3" t="s">
        <v>9954</v>
      </c>
      <c r="AZ895" s="3" t="s">
        <v>75</v>
      </c>
      <c r="BB895" s="3" t="s">
        <v>9955</v>
      </c>
      <c r="BC895" s="3" t="s">
        <v>9956</v>
      </c>
      <c r="BD895" s="3" t="s">
        <v>9957</v>
      </c>
    </row>
    <row r="896" spans="1:56" ht="44.25" customHeight="1" x14ac:dyDescent="0.25">
      <c r="A896" s="7" t="s">
        <v>61</v>
      </c>
      <c r="B896" s="2" t="s">
        <v>9958</v>
      </c>
      <c r="C896" s="2" t="s">
        <v>9959</v>
      </c>
      <c r="D896" s="2" t="s">
        <v>9960</v>
      </c>
      <c r="F896" s="3" t="s">
        <v>61</v>
      </c>
      <c r="G896" s="3" t="s">
        <v>60</v>
      </c>
      <c r="H896" s="3" t="s">
        <v>61</v>
      </c>
      <c r="I896" s="3" t="s">
        <v>61</v>
      </c>
      <c r="J896" s="3" t="s">
        <v>62</v>
      </c>
      <c r="K896" s="2" t="s">
        <v>9961</v>
      </c>
      <c r="L896" s="2" t="s">
        <v>9962</v>
      </c>
      <c r="M896" s="3" t="s">
        <v>9342</v>
      </c>
      <c r="O896" s="3" t="s">
        <v>114</v>
      </c>
      <c r="P896" s="3" t="s">
        <v>649</v>
      </c>
      <c r="R896" s="3" t="s">
        <v>68</v>
      </c>
      <c r="S896" s="4">
        <v>2</v>
      </c>
      <c r="T896" s="4">
        <v>2</v>
      </c>
      <c r="U896" s="5" t="s">
        <v>9131</v>
      </c>
      <c r="V896" s="5" t="s">
        <v>9131</v>
      </c>
      <c r="W896" s="5" t="s">
        <v>2188</v>
      </c>
      <c r="X896" s="5" t="s">
        <v>2188</v>
      </c>
      <c r="Y896" s="4">
        <v>760</v>
      </c>
      <c r="Z896" s="4">
        <v>630</v>
      </c>
      <c r="AA896" s="4">
        <v>1177</v>
      </c>
      <c r="AB896" s="4">
        <v>6</v>
      </c>
      <c r="AC896" s="4">
        <v>10</v>
      </c>
      <c r="AD896" s="4">
        <v>34</v>
      </c>
      <c r="AE896" s="4">
        <v>54</v>
      </c>
      <c r="AF896" s="4">
        <v>15</v>
      </c>
      <c r="AG896" s="4">
        <v>23</v>
      </c>
      <c r="AH896" s="4">
        <v>8</v>
      </c>
      <c r="AI896" s="4">
        <v>11</v>
      </c>
      <c r="AJ896" s="4">
        <v>17</v>
      </c>
      <c r="AK896" s="4">
        <v>23</v>
      </c>
      <c r="AL896" s="4">
        <v>5</v>
      </c>
      <c r="AM896" s="4">
        <v>8</v>
      </c>
      <c r="AN896" s="4">
        <v>0</v>
      </c>
      <c r="AO896" s="4">
        <v>2</v>
      </c>
      <c r="AP896" s="3" t="s">
        <v>61</v>
      </c>
      <c r="AQ896" s="3" t="s">
        <v>61</v>
      </c>
      <c r="AS896" s="6" t="str">
        <f>HYPERLINK("https://creighton-primo.hosted.exlibrisgroup.com/primo-explore/search?tab=default_tab&amp;search_scope=EVERYTHING&amp;vid=01CRU&amp;lang=en_US&amp;offset=0&amp;query=any,contains,991004590589702656","Catalog Record")</f>
        <v>Catalog Record</v>
      </c>
      <c r="AT896" s="6" t="str">
        <f>HYPERLINK("http://www.worldcat.org/oclc/57319953","WorldCat Record")</f>
        <v>WorldCat Record</v>
      </c>
      <c r="AU896" s="3" t="s">
        <v>9963</v>
      </c>
      <c r="AV896" s="3" t="s">
        <v>9964</v>
      </c>
      <c r="AW896" s="3" t="s">
        <v>9965</v>
      </c>
      <c r="AX896" s="3" t="s">
        <v>9965</v>
      </c>
      <c r="AY896" s="3" t="s">
        <v>9966</v>
      </c>
      <c r="AZ896" s="3" t="s">
        <v>75</v>
      </c>
      <c r="BB896" s="3" t="s">
        <v>9967</v>
      </c>
      <c r="BC896" s="3" t="s">
        <v>9968</v>
      </c>
      <c r="BD896" s="3" t="s">
        <v>9969</v>
      </c>
    </row>
    <row r="897" spans="1:56" ht="44.25" customHeight="1" x14ac:dyDescent="0.25">
      <c r="A897" s="7" t="s">
        <v>61</v>
      </c>
      <c r="B897" s="2" t="s">
        <v>9970</v>
      </c>
      <c r="C897" s="2" t="s">
        <v>9971</v>
      </c>
      <c r="D897" s="2" t="s">
        <v>9972</v>
      </c>
      <c r="F897" s="3" t="s">
        <v>61</v>
      </c>
      <c r="G897" s="3" t="s">
        <v>60</v>
      </c>
      <c r="H897" s="3" t="s">
        <v>61</v>
      </c>
      <c r="I897" s="3" t="s">
        <v>61</v>
      </c>
      <c r="J897" s="3" t="s">
        <v>62</v>
      </c>
      <c r="K897" s="2" t="s">
        <v>7777</v>
      </c>
      <c r="L897" s="2" t="s">
        <v>9973</v>
      </c>
      <c r="M897" s="3" t="s">
        <v>422</v>
      </c>
      <c r="O897" s="3" t="s">
        <v>114</v>
      </c>
      <c r="P897" s="3" t="s">
        <v>235</v>
      </c>
      <c r="R897" s="3" t="s">
        <v>68</v>
      </c>
      <c r="S897" s="4">
        <v>9</v>
      </c>
      <c r="T897" s="4">
        <v>9</v>
      </c>
      <c r="U897" s="5" t="s">
        <v>9974</v>
      </c>
      <c r="V897" s="5" t="s">
        <v>9974</v>
      </c>
      <c r="W897" s="5" t="s">
        <v>9975</v>
      </c>
      <c r="X897" s="5" t="s">
        <v>9975</v>
      </c>
      <c r="Y897" s="4">
        <v>428</v>
      </c>
      <c r="Z897" s="4">
        <v>371</v>
      </c>
      <c r="AA897" s="4">
        <v>736</v>
      </c>
      <c r="AB897" s="4">
        <v>2</v>
      </c>
      <c r="AC897" s="4">
        <v>4</v>
      </c>
      <c r="AD897" s="4">
        <v>12</v>
      </c>
      <c r="AE897" s="4">
        <v>27</v>
      </c>
      <c r="AF897" s="4">
        <v>7</v>
      </c>
      <c r="AG897" s="4">
        <v>14</v>
      </c>
      <c r="AH897" s="4">
        <v>3</v>
      </c>
      <c r="AI897" s="4">
        <v>6</v>
      </c>
      <c r="AJ897" s="4">
        <v>6</v>
      </c>
      <c r="AK897" s="4">
        <v>13</v>
      </c>
      <c r="AL897" s="4">
        <v>1</v>
      </c>
      <c r="AM897" s="4">
        <v>3</v>
      </c>
      <c r="AN897" s="4">
        <v>0</v>
      </c>
      <c r="AO897" s="4">
        <v>0</v>
      </c>
      <c r="AP897" s="3" t="s">
        <v>61</v>
      </c>
      <c r="AQ897" s="3" t="s">
        <v>61</v>
      </c>
      <c r="AS897" s="6" t="str">
        <f>HYPERLINK("https://creighton-primo.hosted.exlibrisgroup.com/primo-explore/search?tab=default_tab&amp;search_scope=EVERYTHING&amp;vid=01CRU&amp;lang=en_US&amp;offset=0&amp;query=any,contains,991002961479702656","Catalog Record")</f>
        <v>Catalog Record</v>
      </c>
      <c r="AT897" s="6" t="str">
        <f>HYPERLINK("http://www.worldcat.org/oclc/39621362","WorldCat Record")</f>
        <v>WorldCat Record</v>
      </c>
      <c r="AU897" s="3" t="s">
        <v>9976</v>
      </c>
      <c r="AV897" s="3" t="s">
        <v>9977</v>
      </c>
      <c r="AW897" s="3" t="s">
        <v>9978</v>
      </c>
      <c r="AX897" s="3" t="s">
        <v>9978</v>
      </c>
      <c r="AY897" s="3" t="s">
        <v>9979</v>
      </c>
      <c r="AZ897" s="3" t="s">
        <v>75</v>
      </c>
      <c r="BB897" s="3" t="s">
        <v>9980</v>
      </c>
      <c r="BC897" s="3" t="s">
        <v>9981</v>
      </c>
      <c r="BD897" s="3" t="s">
        <v>9982</v>
      </c>
    </row>
    <row r="898" spans="1:56" ht="44.25" customHeight="1" x14ac:dyDescent="0.25">
      <c r="A898" s="7" t="s">
        <v>61</v>
      </c>
      <c r="B898" s="2" t="s">
        <v>9983</v>
      </c>
      <c r="C898" s="2" t="s">
        <v>9984</v>
      </c>
      <c r="D898" s="2" t="s">
        <v>9985</v>
      </c>
      <c r="F898" s="3" t="s">
        <v>61</v>
      </c>
      <c r="G898" s="3" t="s">
        <v>60</v>
      </c>
      <c r="H898" s="3" t="s">
        <v>61</v>
      </c>
      <c r="I898" s="3" t="s">
        <v>61</v>
      </c>
      <c r="J898" s="3" t="s">
        <v>62</v>
      </c>
      <c r="K898" s="2" t="s">
        <v>9986</v>
      </c>
      <c r="L898" s="2" t="s">
        <v>9987</v>
      </c>
      <c r="M898" s="3" t="s">
        <v>305</v>
      </c>
      <c r="O898" s="3" t="s">
        <v>114</v>
      </c>
      <c r="P898" s="3" t="s">
        <v>364</v>
      </c>
      <c r="R898" s="3" t="s">
        <v>68</v>
      </c>
      <c r="S898" s="4">
        <v>6</v>
      </c>
      <c r="T898" s="4">
        <v>6</v>
      </c>
      <c r="U898" s="5" t="s">
        <v>9988</v>
      </c>
      <c r="V898" s="5" t="s">
        <v>9988</v>
      </c>
      <c r="W898" s="5" t="s">
        <v>9989</v>
      </c>
      <c r="X898" s="5" t="s">
        <v>9989</v>
      </c>
      <c r="Y898" s="4">
        <v>916</v>
      </c>
      <c r="Z898" s="4">
        <v>811</v>
      </c>
      <c r="AA898" s="4">
        <v>823</v>
      </c>
      <c r="AB898" s="4">
        <v>7</v>
      </c>
      <c r="AC898" s="4">
        <v>7</v>
      </c>
      <c r="AD898" s="4">
        <v>30</v>
      </c>
      <c r="AE898" s="4">
        <v>30</v>
      </c>
      <c r="AF898" s="4">
        <v>9</v>
      </c>
      <c r="AG898" s="4">
        <v>9</v>
      </c>
      <c r="AH898" s="4">
        <v>8</v>
      </c>
      <c r="AI898" s="4">
        <v>8</v>
      </c>
      <c r="AJ898" s="4">
        <v>14</v>
      </c>
      <c r="AK898" s="4">
        <v>14</v>
      </c>
      <c r="AL898" s="4">
        <v>6</v>
      </c>
      <c r="AM898" s="4">
        <v>6</v>
      </c>
      <c r="AN898" s="4">
        <v>0</v>
      </c>
      <c r="AO898" s="4">
        <v>0</v>
      </c>
      <c r="AP898" s="3" t="s">
        <v>61</v>
      </c>
      <c r="AQ898" s="3" t="s">
        <v>61</v>
      </c>
      <c r="AS898" s="6" t="str">
        <f>HYPERLINK("https://creighton-primo.hosted.exlibrisgroup.com/primo-explore/search?tab=default_tab&amp;search_scope=EVERYTHING&amp;vid=01CRU&amp;lang=en_US&amp;offset=0&amp;query=any,contains,991003382719702656","Catalog Record")</f>
        <v>Catalog Record</v>
      </c>
      <c r="AT898" s="6" t="str">
        <f>HYPERLINK("http://www.worldcat.org/oclc/919785","WorldCat Record")</f>
        <v>WorldCat Record</v>
      </c>
      <c r="AU898" s="3" t="s">
        <v>9990</v>
      </c>
      <c r="AV898" s="3" t="s">
        <v>9991</v>
      </c>
      <c r="AW898" s="3" t="s">
        <v>9992</v>
      </c>
      <c r="AX898" s="3" t="s">
        <v>9992</v>
      </c>
      <c r="AY898" s="3" t="s">
        <v>9993</v>
      </c>
      <c r="AZ898" s="3" t="s">
        <v>75</v>
      </c>
      <c r="BC898" s="3" t="s">
        <v>9994</v>
      </c>
      <c r="BD898" s="3" t="s">
        <v>9995</v>
      </c>
    </row>
    <row r="899" spans="1:56" ht="44.25" customHeight="1" x14ac:dyDescent="0.25">
      <c r="A899" s="7" t="s">
        <v>61</v>
      </c>
      <c r="B899" s="2" t="s">
        <v>9996</v>
      </c>
      <c r="C899" s="2" t="s">
        <v>9997</v>
      </c>
      <c r="D899" s="2" t="s">
        <v>9998</v>
      </c>
      <c r="F899" s="3" t="s">
        <v>61</v>
      </c>
      <c r="G899" s="3" t="s">
        <v>60</v>
      </c>
      <c r="H899" s="3" t="s">
        <v>61</v>
      </c>
      <c r="I899" s="3" t="s">
        <v>61</v>
      </c>
      <c r="J899" s="3" t="s">
        <v>62</v>
      </c>
      <c r="K899" s="2" t="s">
        <v>9999</v>
      </c>
      <c r="L899" s="2" t="s">
        <v>2405</v>
      </c>
      <c r="M899" s="3" t="s">
        <v>755</v>
      </c>
      <c r="O899" s="3" t="s">
        <v>114</v>
      </c>
      <c r="P899" s="3" t="s">
        <v>649</v>
      </c>
      <c r="R899" s="3" t="s">
        <v>68</v>
      </c>
      <c r="S899" s="4">
        <v>5</v>
      </c>
      <c r="T899" s="4">
        <v>5</v>
      </c>
      <c r="U899" s="5" t="s">
        <v>10000</v>
      </c>
      <c r="V899" s="5" t="s">
        <v>10000</v>
      </c>
      <c r="W899" s="5" t="s">
        <v>10001</v>
      </c>
      <c r="X899" s="5" t="s">
        <v>10001</v>
      </c>
      <c r="Y899" s="4">
        <v>238</v>
      </c>
      <c r="Z899" s="4">
        <v>214</v>
      </c>
      <c r="AA899" s="4">
        <v>256</v>
      </c>
      <c r="AB899" s="4">
        <v>2</v>
      </c>
      <c r="AC899" s="4">
        <v>2</v>
      </c>
      <c r="AD899" s="4">
        <v>9</v>
      </c>
      <c r="AE899" s="4">
        <v>9</v>
      </c>
      <c r="AF899" s="4">
        <v>2</v>
      </c>
      <c r="AG899" s="4">
        <v>2</v>
      </c>
      <c r="AH899" s="4">
        <v>4</v>
      </c>
      <c r="AI899" s="4">
        <v>4</v>
      </c>
      <c r="AJ899" s="4">
        <v>6</v>
      </c>
      <c r="AK899" s="4">
        <v>6</v>
      </c>
      <c r="AL899" s="4">
        <v>1</v>
      </c>
      <c r="AM899" s="4">
        <v>1</v>
      </c>
      <c r="AN899" s="4">
        <v>0</v>
      </c>
      <c r="AO899" s="4">
        <v>0</v>
      </c>
      <c r="AP899" s="3" t="s">
        <v>61</v>
      </c>
      <c r="AQ899" s="3" t="s">
        <v>59</v>
      </c>
      <c r="AR899" s="6" t="str">
        <f>HYPERLINK("http://catalog.hathitrust.org/Record/000491652","HathiTrust Record")</f>
        <v>HathiTrust Record</v>
      </c>
      <c r="AS899" s="6" t="str">
        <f>HYPERLINK("https://creighton-primo.hosted.exlibrisgroup.com/primo-explore/search?tab=default_tab&amp;search_scope=EVERYTHING&amp;vid=01CRU&amp;lang=en_US&amp;offset=0&amp;query=any,contains,991001270649702656","Catalog Record")</f>
        <v>Catalog Record</v>
      </c>
      <c r="AT899" s="6" t="str">
        <f>HYPERLINK("http://www.worldcat.org/oclc/211888","WorldCat Record")</f>
        <v>WorldCat Record</v>
      </c>
      <c r="AU899" s="3" t="s">
        <v>10002</v>
      </c>
      <c r="AV899" s="3" t="s">
        <v>10003</v>
      </c>
      <c r="AW899" s="3" t="s">
        <v>10004</v>
      </c>
      <c r="AX899" s="3" t="s">
        <v>10004</v>
      </c>
      <c r="AY899" s="3" t="s">
        <v>10005</v>
      </c>
      <c r="AZ899" s="3" t="s">
        <v>75</v>
      </c>
      <c r="BB899" s="3" t="s">
        <v>10006</v>
      </c>
      <c r="BC899" s="3" t="s">
        <v>10007</v>
      </c>
      <c r="BD899" s="3" t="s">
        <v>10008</v>
      </c>
    </row>
    <row r="900" spans="1:56" ht="44.25" customHeight="1" x14ac:dyDescent="0.25">
      <c r="A900" s="7" t="s">
        <v>61</v>
      </c>
      <c r="B900" s="2" t="s">
        <v>10009</v>
      </c>
      <c r="C900" s="2" t="s">
        <v>10010</v>
      </c>
      <c r="D900" s="2" t="s">
        <v>10011</v>
      </c>
      <c r="F900" s="3" t="s">
        <v>61</v>
      </c>
      <c r="G900" s="3" t="s">
        <v>60</v>
      </c>
      <c r="H900" s="3" t="s">
        <v>61</v>
      </c>
      <c r="I900" s="3" t="s">
        <v>61</v>
      </c>
      <c r="J900" s="3" t="s">
        <v>62</v>
      </c>
      <c r="K900" s="2" t="s">
        <v>10012</v>
      </c>
      <c r="L900" s="2" t="s">
        <v>10013</v>
      </c>
      <c r="M900" s="3" t="s">
        <v>466</v>
      </c>
      <c r="N900" s="2" t="s">
        <v>634</v>
      </c>
      <c r="O900" s="3" t="s">
        <v>114</v>
      </c>
      <c r="P900" s="3" t="s">
        <v>235</v>
      </c>
      <c r="R900" s="3" t="s">
        <v>68</v>
      </c>
      <c r="S900" s="4">
        <v>3</v>
      </c>
      <c r="T900" s="4">
        <v>3</v>
      </c>
      <c r="U900" s="5" t="s">
        <v>10014</v>
      </c>
      <c r="V900" s="5" t="s">
        <v>10014</v>
      </c>
      <c r="W900" s="5" t="s">
        <v>8774</v>
      </c>
      <c r="X900" s="5" t="s">
        <v>8774</v>
      </c>
      <c r="Y900" s="4">
        <v>829</v>
      </c>
      <c r="Z900" s="4">
        <v>780</v>
      </c>
      <c r="AA900" s="4">
        <v>840</v>
      </c>
      <c r="AB900" s="4">
        <v>7</v>
      </c>
      <c r="AC900" s="4">
        <v>8</v>
      </c>
      <c r="AD900" s="4">
        <v>25</v>
      </c>
      <c r="AE900" s="4">
        <v>28</v>
      </c>
      <c r="AF900" s="4">
        <v>12</v>
      </c>
      <c r="AG900" s="4">
        <v>13</v>
      </c>
      <c r="AH900" s="4">
        <v>9</v>
      </c>
      <c r="AI900" s="4">
        <v>10</v>
      </c>
      <c r="AJ900" s="4">
        <v>10</v>
      </c>
      <c r="AK900" s="4">
        <v>11</v>
      </c>
      <c r="AL900" s="4">
        <v>3</v>
      </c>
      <c r="AM900" s="4">
        <v>3</v>
      </c>
      <c r="AN900" s="4">
        <v>0</v>
      </c>
      <c r="AO900" s="4">
        <v>0</v>
      </c>
      <c r="AP900" s="3" t="s">
        <v>61</v>
      </c>
      <c r="AQ900" s="3" t="s">
        <v>59</v>
      </c>
      <c r="AR900" s="6" t="str">
        <f>HYPERLINK("http://catalog.hathitrust.org/Record/000087312","HathiTrust Record")</f>
        <v>HathiTrust Record</v>
      </c>
      <c r="AS900" s="6" t="str">
        <f>HYPERLINK("https://creighton-primo.hosted.exlibrisgroup.com/primo-explore/search?tab=default_tab&amp;search_scope=EVERYTHING&amp;vid=01CRU&amp;lang=en_US&amp;offset=0&amp;query=any,contains,991004444389702656","Catalog Record")</f>
        <v>Catalog Record</v>
      </c>
      <c r="AT900" s="6" t="str">
        <f>HYPERLINK("http://www.worldcat.org/oclc/3480538","WorldCat Record")</f>
        <v>WorldCat Record</v>
      </c>
      <c r="AU900" s="3" t="s">
        <v>10015</v>
      </c>
      <c r="AV900" s="3" t="s">
        <v>10016</v>
      </c>
      <c r="AW900" s="3" t="s">
        <v>10017</v>
      </c>
      <c r="AX900" s="3" t="s">
        <v>10017</v>
      </c>
      <c r="AY900" s="3" t="s">
        <v>10018</v>
      </c>
      <c r="AZ900" s="3" t="s">
        <v>75</v>
      </c>
      <c r="BB900" s="3" t="s">
        <v>10019</v>
      </c>
      <c r="BC900" s="3" t="s">
        <v>10020</v>
      </c>
      <c r="BD900" s="3" t="s">
        <v>10021</v>
      </c>
    </row>
    <row r="901" spans="1:56" ht="44.25" customHeight="1" x14ac:dyDescent="0.25">
      <c r="A901" s="7" t="s">
        <v>61</v>
      </c>
      <c r="B901" s="2" t="s">
        <v>10022</v>
      </c>
      <c r="C901" s="2" t="s">
        <v>10023</v>
      </c>
      <c r="D901" s="2" t="s">
        <v>10024</v>
      </c>
      <c r="F901" s="3" t="s">
        <v>61</v>
      </c>
      <c r="G901" s="3" t="s">
        <v>60</v>
      </c>
      <c r="H901" s="3" t="s">
        <v>61</v>
      </c>
      <c r="I901" s="3" t="s">
        <v>61</v>
      </c>
      <c r="J901" s="3" t="s">
        <v>62</v>
      </c>
      <c r="K901" s="2" t="s">
        <v>10025</v>
      </c>
      <c r="L901" s="2" t="s">
        <v>10026</v>
      </c>
      <c r="M901" s="3" t="s">
        <v>1624</v>
      </c>
      <c r="O901" s="3" t="s">
        <v>114</v>
      </c>
      <c r="P901" s="3" t="s">
        <v>115</v>
      </c>
      <c r="Q901" s="2" t="s">
        <v>10027</v>
      </c>
      <c r="R901" s="3" t="s">
        <v>68</v>
      </c>
      <c r="S901" s="4">
        <v>1</v>
      </c>
      <c r="T901" s="4">
        <v>1</v>
      </c>
      <c r="U901" s="5" t="s">
        <v>10028</v>
      </c>
      <c r="V901" s="5" t="s">
        <v>10028</v>
      </c>
      <c r="W901" s="5" t="s">
        <v>8668</v>
      </c>
      <c r="X901" s="5" t="s">
        <v>8668</v>
      </c>
      <c r="Y901" s="4">
        <v>794</v>
      </c>
      <c r="Z901" s="4">
        <v>698</v>
      </c>
      <c r="AA901" s="4">
        <v>837</v>
      </c>
      <c r="AB901" s="4">
        <v>5</v>
      </c>
      <c r="AC901" s="4">
        <v>6</v>
      </c>
      <c r="AD901" s="4">
        <v>39</v>
      </c>
      <c r="AE901" s="4">
        <v>46</v>
      </c>
      <c r="AF901" s="4">
        <v>18</v>
      </c>
      <c r="AG901" s="4">
        <v>22</v>
      </c>
      <c r="AH901" s="4">
        <v>9</v>
      </c>
      <c r="AI901" s="4">
        <v>9</v>
      </c>
      <c r="AJ901" s="4">
        <v>16</v>
      </c>
      <c r="AK901" s="4">
        <v>20</v>
      </c>
      <c r="AL901" s="4">
        <v>4</v>
      </c>
      <c r="AM901" s="4">
        <v>5</v>
      </c>
      <c r="AN901" s="4">
        <v>1</v>
      </c>
      <c r="AO901" s="4">
        <v>1</v>
      </c>
      <c r="AP901" s="3" t="s">
        <v>61</v>
      </c>
      <c r="AQ901" s="3" t="s">
        <v>59</v>
      </c>
      <c r="AR901" s="6" t="str">
        <f>HYPERLINK("http://catalog.hathitrust.org/Record/000492523","HathiTrust Record")</f>
        <v>HathiTrust Record</v>
      </c>
      <c r="AS901" s="6" t="str">
        <f>HYPERLINK("https://creighton-primo.hosted.exlibrisgroup.com/primo-explore/search?tab=default_tab&amp;search_scope=EVERYTHING&amp;vid=01CRU&amp;lang=en_US&amp;offset=0&amp;query=any,contains,991002698869702656","Catalog Record")</f>
        <v>Catalog Record</v>
      </c>
      <c r="AT901" s="6" t="str">
        <f>HYPERLINK("http://www.worldcat.org/oclc/404764","WorldCat Record")</f>
        <v>WorldCat Record</v>
      </c>
      <c r="AU901" s="3" t="s">
        <v>10029</v>
      </c>
      <c r="AV901" s="3" t="s">
        <v>10030</v>
      </c>
      <c r="AW901" s="3" t="s">
        <v>10031</v>
      </c>
      <c r="AX901" s="3" t="s">
        <v>10031</v>
      </c>
      <c r="AY901" s="3" t="s">
        <v>10032</v>
      </c>
      <c r="AZ901" s="3" t="s">
        <v>75</v>
      </c>
      <c r="BC901" s="3" t="s">
        <v>10033</v>
      </c>
      <c r="BD901" s="3" t="s">
        <v>10034</v>
      </c>
    </row>
    <row r="902" spans="1:56" ht="44.25" customHeight="1" x14ac:dyDescent="0.25">
      <c r="A902" s="7" t="s">
        <v>61</v>
      </c>
      <c r="B902" s="2" t="s">
        <v>10035</v>
      </c>
      <c r="C902" s="2" t="s">
        <v>10036</v>
      </c>
      <c r="D902" s="2" t="s">
        <v>10037</v>
      </c>
      <c r="F902" s="3" t="s">
        <v>61</v>
      </c>
      <c r="G902" s="3" t="s">
        <v>60</v>
      </c>
      <c r="H902" s="3" t="s">
        <v>61</v>
      </c>
      <c r="I902" s="3" t="s">
        <v>61</v>
      </c>
      <c r="J902" s="3" t="s">
        <v>62</v>
      </c>
      <c r="K902" s="2" t="s">
        <v>10038</v>
      </c>
      <c r="L902" s="2" t="s">
        <v>10039</v>
      </c>
      <c r="M902" s="3" t="s">
        <v>2281</v>
      </c>
      <c r="O902" s="3" t="s">
        <v>114</v>
      </c>
      <c r="P902" s="3" t="s">
        <v>1007</v>
      </c>
      <c r="R902" s="3" t="s">
        <v>68</v>
      </c>
      <c r="S902" s="4">
        <v>2</v>
      </c>
      <c r="T902" s="4">
        <v>2</v>
      </c>
      <c r="U902" s="5" t="s">
        <v>10040</v>
      </c>
      <c r="V902" s="5" t="s">
        <v>10040</v>
      </c>
      <c r="W902" s="5" t="s">
        <v>8262</v>
      </c>
      <c r="X902" s="5" t="s">
        <v>8262</v>
      </c>
      <c r="Y902" s="4">
        <v>447</v>
      </c>
      <c r="Z902" s="4">
        <v>391</v>
      </c>
      <c r="AA902" s="4">
        <v>513</v>
      </c>
      <c r="AB902" s="4">
        <v>4</v>
      </c>
      <c r="AC902" s="4">
        <v>5</v>
      </c>
      <c r="AD902" s="4">
        <v>7</v>
      </c>
      <c r="AE902" s="4">
        <v>13</v>
      </c>
      <c r="AF902" s="4">
        <v>1</v>
      </c>
      <c r="AG902" s="4">
        <v>3</v>
      </c>
      <c r="AH902" s="4">
        <v>1</v>
      </c>
      <c r="AI902" s="4">
        <v>3</v>
      </c>
      <c r="AJ902" s="4">
        <v>4</v>
      </c>
      <c r="AK902" s="4">
        <v>8</v>
      </c>
      <c r="AL902" s="4">
        <v>2</v>
      </c>
      <c r="AM902" s="4">
        <v>3</v>
      </c>
      <c r="AN902" s="4">
        <v>0</v>
      </c>
      <c r="AO902" s="4">
        <v>0</v>
      </c>
      <c r="AP902" s="3" t="s">
        <v>61</v>
      </c>
      <c r="AQ902" s="3" t="s">
        <v>59</v>
      </c>
      <c r="AR902" s="6" t="str">
        <f>HYPERLINK("http://catalog.hathitrust.org/Record/000752083","HathiTrust Record")</f>
        <v>HathiTrust Record</v>
      </c>
      <c r="AS902" s="6" t="str">
        <f>HYPERLINK("https://creighton-primo.hosted.exlibrisgroup.com/primo-explore/search?tab=default_tab&amp;search_scope=EVERYTHING&amp;vid=01CRU&amp;lang=en_US&amp;offset=0&amp;query=any,contains,991004430979702656","Catalog Record")</f>
        <v>Catalog Record</v>
      </c>
      <c r="AT902" s="6" t="str">
        <f>HYPERLINK("http://www.worldcat.org/oclc/3419128","WorldCat Record")</f>
        <v>WorldCat Record</v>
      </c>
      <c r="AU902" s="3" t="s">
        <v>10041</v>
      </c>
      <c r="AV902" s="3" t="s">
        <v>10042</v>
      </c>
      <c r="AW902" s="3" t="s">
        <v>10043</v>
      </c>
      <c r="AX902" s="3" t="s">
        <v>10043</v>
      </c>
      <c r="AY902" s="3" t="s">
        <v>10044</v>
      </c>
      <c r="AZ902" s="3" t="s">
        <v>75</v>
      </c>
      <c r="BB902" s="3" t="s">
        <v>10045</v>
      </c>
      <c r="BC902" s="3" t="s">
        <v>10046</v>
      </c>
      <c r="BD902" s="3" t="s">
        <v>10047</v>
      </c>
    </row>
    <row r="903" spans="1:56" ht="44.25" customHeight="1" x14ac:dyDescent="0.25">
      <c r="A903" s="7" t="s">
        <v>61</v>
      </c>
      <c r="B903" s="2" t="s">
        <v>10048</v>
      </c>
      <c r="C903" s="2" t="s">
        <v>10049</v>
      </c>
      <c r="D903" s="2" t="s">
        <v>10050</v>
      </c>
      <c r="F903" s="3" t="s">
        <v>61</v>
      </c>
      <c r="G903" s="3" t="s">
        <v>60</v>
      </c>
      <c r="H903" s="3" t="s">
        <v>61</v>
      </c>
      <c r="I903" s="3" t="s">
        <v>61</v>
      </c>
      <c r="J903" s="3" t="s">
        <v>62</v>
      </c>
      <c r="K903" s="2" t="s">
        <v>10051</v>
      </c>
      <c r="L903" s="2" t="s">
        <v>10052</v>
      </c>
      <c r="M903" s="3" t="s">
        <v>770</v>
      </c>
      <c r="O903" s="3" t="s">
        <v>114</v>
      </c>
      <c r="P903" s="3" t="s">
        <v>235</v>
      </c>
      <c r="R903" s="3" t="s">
        <v>68</v>
      </c>
      <c r="S903" s="4">
        <v>15</v>
      </c>
      <c r="T903" s="4">
        <v>15</v>
      </c>
      <c r="U903" s="5" t="s">
        <v>4152</v>
      </c>
      <c r="V903" s="5" t="s">
        <v>4152</v>
      </c>
      <c r="W903" s="5" t="s">
        <v>10053</v>
      </c>
      <c r="X903" s="5" t="s">
        <v>10053</v>
      </c>
      <c r="Y903" s="4">
        <v>828</v>
      </c>
      <c r="Z903" s="4">
        <v>749</v>
      </c>
      <c r="AA903" s="4">
        <v>753</v>
      </c>
      <c r="AB903" s="4">
        <v>5</v>
      </c>
      <c r="AC903" s="4">
        <v>5</v>
      </c>
      <c r="AD903" s="4">
        <v>24</v>
      </c>
      <c r="AE903" s="4">
        <v>25</v>
      </c>
      <c r="AF903" s="4">
        <v>7</v>
      </c>
      <c r="AG903" s="4">
        <v>7</v>
      </c>
      <c r="AH903" s="4">
        <v>6</v>
      </c>
      <c r="AI903" s="4">
        <v>7</v>
      </c>
      <c r="AJ903" s="4">
        <v>13</v>
      </c>
      <c r="AK903" s="4">
        <v>13</v>
      </c>
      <c r="AL903" s="4">
        <v>4</v>
      </c>
      <c r="AM903" s="4">
        <v>4</v>
      </c>
      <c r="AN903" s="4">
        <v>0</v>
      </c>
      <c r="AO903" s="4">
        <v>0</v>
      </c>
      <c r="AP903" s="3" t="s">
        <v>61</v>
      </c>
      <c r="AQ903" s="3" t="s">
        <v>59</v>
      </c>
      <c r="AR903" s="6" t="str">
        <f>HYPERLINK("http://catalog.hathitrust.org/Record/000489516","HathiTrust Record")</f>
        <v>HathiTrust Record</v>
      </c>
      <c r="AS903" s="6" t="str">
        <f>HYPERLINK("https://creighton-primo.hosted.exlibrisgroup.com/primo-explore/search?tab=default_tab&amp;search_scope=EVERYTHING&amp;vid=01CRU&amp;lang=en_US&amp;offset=0&amp;query=any,contains,991003626719702656","Catalog Record")</f>
        <v>Catalog Record</v>
      </c>
      <c r="AT903" s="6" t="str">
        <f>HYPERLINK("http://www.worldcat.org/oclc/1217479","WorldCat Record")</f>
        <v>WorldCat Record</v>
      </c>
      <c r="AU903" s="3" t="s">
        <v>10054</v>
      </c>
      <c r="AV903" s="3" t="s">
        <v>10055</v>
      </c>
      <c r="AW903" s="3" t="s">
        <v>10056</v>
      </c>
      <c r="AX903" s="3" t="s">
        <v>10056</v>
      </c>
      <c r="AY903" s="3" t="s">
        <v>10057</v>
      </c>
      <c r="AZ903" s="3" t="s">
        <v>75</v>
      </c>
      <c r="BB903" s="3" t="s">
        <v>10058</v>
      </c>
      <c r="BC903" s="3" t="s">
        <v>10059</v>
      </c>
      <c r="BD903" s="3" t="s">
        <v>10060</v>
      </c>
    </row>
    <row r="904" spans="1:56" ht="44.25" customHeight="1" x14ac:dyDescent="0.25">
      <c r="A904" s="7" t="s">
        <v>61</v>
      </c>
      <c r="B904" s="2" t="s">
        <v>10061</v>
      </c>
      <c r="C904" s="2" t="s">
        <v>10062</v>
      </c>
      <c r="D904" s="2" t="s">
        <v>10063</v>
      </c>
      <c r="F904" s="3" t="s">
        <v>61</v>
      </c>
      <c r="G904" s="3" t="s">
        <v>60</v>
      </c>
      <c r="H904" s="3" t="s">
        <v>61</v>
      </c>
      <c r="I904" s="3" t="s">
        <v>61</v>
      </c>
      <c r="J904" s="3" t="s">
        <v>62</v>
      </c>
      <c r="K904" s="2" t="s">
        <v>10064</v>
      </c>
      <c r="L904" s="2" t="s">
        <v>10065</v>
      </c>
      <c r="M904" s="3" t="s">
        <v>466</v>
      </c>
      <c r="O904" s="3" t="s">
        <v>114</v>
      </c>
      <c r="P904" s="3" t="s">
        <v>437</v>
      </c>
      <c r="Q904" s="2" t="s">
        <v>10066</v>
      </c>
      <c r="R904" s="3" t="s">
        <v>68</v>
      </c>
      <c r="S904" s="4">
        <v>5</v>
      </c>
      <c r="T904" s="4">
        <v>5</v>
      </c>
      <c r="U904" s="5" t="s">
        <v>10067</v>
      </c>
      <c r="V904" s="5" t="s">
        <v>10067</v>
      </c>
      <c r="W904" s="5" t="s">
        <v>8774</v>
      </c>
      <c r="X904" s="5" t="s">
        <v>8774</v>
      </c>
      <c r="Y904" s="4">
        <v>766</v>
      </c>
      <c r="Z904" s="4">
        <v>688</v>
      </c>
      <c r="AA904" s="4">
        <v>700</v>
      </c>
      <c r="AB904" s="4">
        <v>7</v>
      </c>
      <c r="AC904" s="4">
        <v>7</v>
      </c>
      <c r="AD904" s="4">
        <v>34</v>
      </c>
      <c r="AE904" s="4">
        <v>35</v>
      </c>
      <c r="AF904" s="4">
        <v>12</v>
      </c>
      <c r="AG904" s="4">
        <v>13</v>
      </c>
      <c r="AH904" s="4">
        <v>9</v>
      </c>
      <c r="AI904" s="4">
        <v>9</v>
      </c>
      <c r="AJ904" s="4">
        <v>17</v>
      </c>
      <c r="AK904" s="4">
        <v>18</v>
      </c>
      <c r="AL904" s="4">
        <v>5</v>
      </c>
      <c r="AM904" s="4">
        <v>5</v>
      </c>
      <c r="AN904" s="4">
        <v>0</v>
      </c>
      <c r="AO904" s="4">
        <v>0</v>
      </c>
      <c r="AP904" s="3" t="s">
        <v>61</v>
      </c>
      <c r="AQ904" s="3" t="s">
        <v>59</v>
      </c>
      <c r="AR904" s="6" t="str">
        <f>HYPERLINK("http://catalog.hathitrust.org/Record/000174752","HathiTrust Record")</f>
        <v>HathiTrust Record</v>
      </c>
      <c r="AS904" s="6" t="str">
        <f>HYPERLINK("https://creighton-primo.hosted.exlibrisgroup.com/primo-explore/search?tab=default_tab&amp;search_scope=EVERYTHING&amp;vid=01CRU&amp;lang=en_US&amp;offset=0&amp;query=any,contains,991004551209702656","Catalog Record")</f>
        <v>Catalog Record</v>
      </c>
      <c r="AT904" s="6" t="str">
        <f>HYPERLINK("http://www.worldcat.org/oclc/3935041","WorldCat Record")</f>
        <v>WorldCat Record</v>
      </c>
      <c r="AU904" s="3" t="s">
        <v>10068</v>
      </c>
      <c r="AV904" s="3" t="s">
        <v>10069</v>
      </c>
      <c r="AW904" s="3" t="s">
        <v>10070</v>
      </c>
      <c r="AX904" s="3" t="s">
        <v>10070</v>
      </c>
      <c r="AY904" s="3" t="s">
        <v>10071</v>
      </c>
      <c r="AZ904" s="3" t="s">
        <v>75</v>
      </c>
      <c r="BB904" s="3" t="s">
        <v>10072</v>
      </c>
      <c r="BC904" s="3" t="s">
        <v>10073</v>
      </c>
      <c r="BD904" s="3" t="s">
        <v>10074</v>
      </c>
    </row>
    <row r="905" spans="1:56" ht="44.25" customHeight="1" x14ac:dyDescent="0.25">
      <c r="A905" s="7" t="s">
        <v>61</v>
      </c>
      <c r="B905" s="2" t="s">
        <v>10075</v>
      </c>
      <c r="C905" s="2" t="s">
        <v>10076</v>
      </c>
      <c r="D905" s="2" t="s">
        <v>10077</v>
      </c>
      <c r="E905" s="3" t="s">
        <v>141</v>
      </c>
      <c r="F905" s="3" t="s">
        <v>59</v>
      </c>
      <c r="G905" s="3" t="s">
        <v>60</v>
      </c>
      <c r="H905" s="3" t="s">
        <v>61</v>
      </c>
      <c r="I905" s="3" t="s">
        <v>61</v>
      </c>
      <c r="J905" s="3" t="s">
        <v>62</v>
      </c>
      <c r="K905" s="2" t="s">
        <v>10078</v>
      </c>
      <c r="L905" s="2" t="s">
        <v>10079</v>
      </c>
      <c r="M905" s="3" t="s">
        <v>10080</v>
      </c>
      <c r="O905" s="3" t="s">
        <v>114</v>
      </c>
      <c r="P905" s="3" t="s">
        <v>192</v>
      </c>
      <c r="Q905" s="2" t="s">
        <v>9037</v>
      </c>
      <c r="R905" s="3" t="s">
        <v>68</v>
      </c>
      <c r="S905" s="4">
        <v>0</v>
      </c>
      <c r="T905" s="4">
        <v>7</v>
      </c>
      <c r="V905" s="5" t="s">
        <v>10081</v>
      </c>
      <c r="W905" s="5" t="s">
        <v>10082</v>
      </c>
      <c r="X905" s="5" t="s">
        <v>10082</v>
      </c>
      <c r="Y905" s="4">
        <v>397</v>
      </c>
      <c r="Z905" s="4">
        <v>313</v>
      </c>
      <c r="AA905" s="4">
        <v>313</v>
      </c>
      <c r="AB905" s="4">
        <v>4</v>
      </c>
      <c r="AC905" s="4">
        <v>4</v>
      </c>
      <c r="AD905" s="4">
        <v>17</v>
      </c>
      <c r="AE905" s="4">
        <v>17</v>
      </c>
      <c r="AF905" s="4">
        <v>5</v>
      </c>
      <c r="AG905" s="4">
        <v>5</v>
      </c>
      <c r="AH905" s="4">
        <v>3</v>
      </c>
      <c r="AI905" s="4">
        <v>3</v>
      </c>
      <c r="AJ905" s="4">
        <v>8</v>
      </c>
      <c r="AK905" s="4">
        <v>8</v>
      </c>
      <c r="AL905" s="4">
        <v>3</v>
      </c>
      <c r="AM905" s="4">
        <v>3</v>
      </c>
      <c r="AN905" s="4">
        <v>0</v>
      </c>
      <c r="AO905" s="4">
        <v>0</v>
      </c>
      <c r="AP905" s="3" t="s">
        <v>61</v>
      </c>
      <c r="AQ905" s="3" t="s">
        <v>59</v>
      </c>
      <c r="AR905" s="6" t="str">
        <f>HYPERLINK("http://catalog.hathitrust.org/Record/000649904","HathiTrust Record")</f>
        <v>HathiTrust Record</v>
      </c>
      <c r="AS905" s="6" t="str">
        <f>HYPERLINK("https://creighton-primo.hosted.exlibrisgroup.com/primo-explore/search?tab=default_tab&amp;search_scope=EVERYTHING&amp;vid=01CRU&amp;lang=en_US&amp;offset=0&amp;query=any,contains,991002238749702656","Catalog Record")</f>
        <v>Catalog Record</v>
      </c>
      <c r="AT905" s="6" t="str">
        <f>HYPERLINK("http://www.worldcat.org/oclc/296670","WorldCat Record")</f>
        <v>WorldCat Record</v>
      </c>
      <c r="AU905" s="3" t="s">
        <v>10083</v>
      </c>
      <c r="AV905" s="3" t="s">
        <v>10084</v>
      </c>
      <c r="AW905" s="3" t="s">
        <v>10085</v>
      </c>
      <c r="AX905" s="3" t="s">
        <v>10085</v>
      </c>
      <c r="AY905" s="3" t="s">
        <v>10086</v>
      </c>
      <c r="AZ905" s="3" t="s">
        <v>75</v>
      </c>
      <c r="BC905" s="3" t="s">
        <v>10087</v>
      </c>
      <c r="BD905" s="3" t="s">
        <v>10088</v>
      </c>
    </row>
    <row r="906" spans="1:56" ht="44.25" customHeight="1" x14ac:dyDescent="0.25">
      <c r="A906" s="7" t="s">
        <v>61</v>
      </c>
      <c r="B906" s="2" t="s">
        <v>10075</v>
      </c>
      <c r="C906" s="2" t="s">
        <v>10076</v>
      </c>
      <c r="D906" s="2" t="s">
        <v>10077</v>
      </c>
      <c r="E906" s="3" t="s">
        <v>84</v>
      </c>
      <c r="F906" s="3" t="s">
        <v>59</v>
      </c>
      <c r="G906" s="3" t="s">
        <v>60</v>
      </c>
      <c r="H906" s="3" t="s">
        <v>61</v>
      </c>
      <c r="I906" s="3" t="s">
        <v>61</v>
      </c>
      <c r="J906" s="3" t="s">
        <v>62</v>
      </c>
      <c r="K906" s="2" t="s">
        <v>10078</v>
      </c>
      <c r="L906" s="2" t="s">
        <v>10079</v>
      </c>
      <c r="M906" s="3" t="s">
        <v>10080</v>
      </c>
      <c r="O906" s="3" t="s">
        <v>114</v>
      </c>
      <c r="P906" s="3" t="s">
        <v>192</v>
      </c>
      <c r="Q906" s="2" t="s">
        <v>9037</v>
      </c>
      <c r="R906" s="3" t="s">
        <v>68</v>
      </c>
      <c r="S906" s="4">
        <v>3</v>
      </c>
      <c r="T906" s="4">
        <v>7</v>
      </c>
      <c r="U906" s="5" t="s">
        <v>10081</v>
      </c>
      <c r="V906" s="5" t="s">
        <v>10081</v>
      </c>
      <c r="W906" s="5" t="s">
        <v>10082</v>
      </c>
      <c r="X906" s="5" t="s">
        <v>10082</v>
      </c>
      <c r="Y906" s="4">
        <v>397</v>
      </c>
      <c r="Z906" s="4">
        <v>313</v>
      </c>
      <c r="AA906" s="4">
        <v>313</v>
      </c>
      <c r="AB906" s="4">
        <v>4</v>
      </c>
      <c r="AC906" s="4">
        <v>4</v>
      </c>
      <c r="AD906" s="4">
        <v>17</v>
      </c>
      <c r="AE906" s="4">
        <v>17</v>
      </c>
      <c r="AF906" s="4">
        <v>5</v>
      </c>
      <c r="AG906" s="4">
        <v>5</v>
      </c>
      <c r="AH906" s="4">
        <v>3</v>
      </c>
      <c r="AI906" s="4">
        <v>3</v>
      </c>
      <c r="AJ906" s="4">
        <v>8</v>
      </c>
      <c r="AK906" s="4">
        <v>8</v>
      </c>
      <c r="AL906" s="4">
        <v>3</v>
      </c>
      <c r="AM906" s="4">
        <v>3</v>
      </c>
      <c r="AN906" s="4">
        <v>0</v>
      </c>
      <c r="AO906" s="4">
        <v>0</v>
      </c>
      <c r="AP906" s="3" t="s">
        <v>61</v>
      </c>
      <c r="AQ906" s="3" t="s">
        <v>59</v>
      </c>
      <c r="AR906" s="6" t="str">
        <f>HYPERLINK("http://catalog.hathitrust.org/Record/000649904","HathiTrust Record")</f>
        <v>HathiTrust Record</v>
      </c>
      <c r="AS906" s="6" t="str">
        <f>HYPERLINK("https://creighton-primo.hosted.exlibrisgroup.com/primo-explore/search?tab=default_tab&amp;search_scope=EVERYTHING&amp;vid=01CRU&amp;lang=en_US&amp;offset=0&amp;query=any,contains,991002238749702656","Catalog Record")</f>
        <v>Catalog Record</v>
      </c>
      <c r="AT906" s="6" t="str">
        <f>HYPERLINK("http://www.worldcat.org/oclc/296670","WorldCat Record")</f>
        <v>WorldCat Record</v>
      </c>
      <c r="AU906" s="3" t="s">
        <v>10083</v>
      </c>
      <c r="AV906" s="3" t="s">
        <v>10084</v>
      </c>
      <c r="AW906" s="3" t="s">
        <v>10085</v>
      </c>
      <c r="AX906" s="3" t="s">
        <v>10085</v>
      </c>
      <c r="AY906" s="3" t="s">
        <v>10086</v>
      </c>
      <c r="AZ906" s="3" t="s">
        <v>75</v>
      </c>
      <c r="BC906" s="3" t="s">
        <v>10089</v>
      </c>
      <c r="BD906" s="3" t="s">
        <v>10090</v>
      </c>
    </row>
    <row r="907" spans="1:56" ht="44.25" customHeight="1" x14ac:dyDescent="0.25">
      <c r="A907" s="7" t="s">
        <v>61</v>
      </c>
      <c r="B907" s="2" t="s">
        <v>10075</v>
      </c>
      <c r="C907" s="2" t="s">
        <v>10076</v>
      </c>
      <c r="D907" s="2" t="s">
        <v>10077</v>
      </c>
      <c r="E907" s="3" t="s">
        <v>90</v>
      </c>
      <c r="F907" s="3" t="s">
        <v>59</v>
      </c>
      <c r="G907" s="3" t="s">
        <v>60</v>
      </c>
      <c r="H907" s="3" t="s">
        <v>61</v>
      </c>
      <c r="I907" s="3" t="s">
        <v>61</v>
      </c>
      <c r="J907" s="3" t="s">
        <v>62</v>
      </c>
      <c r="K907" s="2" t="s">
        <v>10078</v>
      </c>
      <c r="L907" s="2" t="s">
        <v>10079</v>
      </c>
      <c r="M907" s="3" t="s">
        <v>10080</v>
      </c>
      <c r="O907" s="3" t="s">
        <v>114</v>
      </c>
      <c r="P907" s="3" t="s">
        <v>192</v>
      </c>
      <c r="Q907" s="2" t="s">
        <v>9037</v>
      </c>
      <c r="R907" s="3" t="s">
        <v>68</v>
      </c>
      <c r="S907" s="4">
        <v>4</v>
      </c>
      <c r="T907" s="4">
        <v>7</v>
      </c>
      <c r="U907" s="5" t="s">
        <v>10081</v>
      </c>
      <c r="V907" s="5" t="s">
        <v>10081</v>
      </c>
      <c r="W907" s="5" t="s">
        <v>10082</v>
      </c>
      <c r="X907" s="5" t="s">
        <v>10082</v>
      </c>
      <c r="Y907" s="4">
        <v>397</v>
      </c>
      <c r="Z907" s="4">
        <v>313</v>
      </c>
      <c r="AA907" s="4">
        <v>313</v>
      </c>
      <c r="AB907" s="4">
        <v>4</v>
      </c>
      <c r="AC907" s="4">
        <v>4</v>
      </c>
      <c r="AD907" s="4">
        <v>17</v>
      </c>
      <c r="AE907" s="4">
        <v>17</v>
      </c>
      <c r="AF907" s="4">
        <v>5</v>
      </c>
      <c r="AG907" s="4">
        <v>5</v>
      </c>
      <c r="AH907" s="4">
        <v>3</v>
      </c>
      <c r="AI907" s="4">
        <v>3</v>
      </c>
      <c r="AJ907" s="4">
        <v>8</v>
      </c>
      <c r="AK907" s="4">
        <v>8</v>
      </c>
      <c r="AL907" s="4">
        <v>3</v>
      </c>
      <c r="AM907" s="4">
        <v>3</v>
      </c>
      <c r="AN907" s="4">
        <v>0</v>
      </c>
      <c r="AO907" s="4">
        <v>0</v>
      </c>
      <c r="AP907" s="3" t="s">
        <v>61</v>
      </c>
      <c r="AQ907" s="3" t="s">
        <v>59</v>
      </c>
      <c r="AR907" s="6" t="str">
        <f>HYPERLINK("http://catalog.hathitrust.org/Record/000649904","HathiTrust Record")</f>
        <v>HathiTrust Record</v>
      </c>
      <c r="AS907" s="6" t="str">
        <f>HYPERLINK("https://creighton-primo.hosted.exlibrisgroup.com/primo-explore/search?tab=default_tab&amp;search_scope=EVERYTHING&amp;vid=01CRU&amp;lang=en_US&amp;offset=0&amp;query=any,contains,991002238749702656","Catalog Record")</f>
        <v>Catalog Record</v>
      </c>
      <c r="AT907" s="6" t="str">
        <f>HYPERLINK("http://www.worldcat.org/oclc/296670","WorldCat Record")</f>
        <v>WorldCat Record</v>
      </c>
      <c r="AU907" s="3" t="s">
        <v>10083</v>
      </c>
      <c r="AV907" s="3" t="s">
        <v>10084</v>
      </c>
      <c r="AW907" s="3" t="s">
        <v>10085</v>
      </c>
      <c r="AX907" s="3" t="s">
        <v>10085</v>
      </c>
      <c r="AY907" s="3" t="s">
        <v>10086</v>
      </c>
      <c r="AZ907" s="3" t="s">
        <v>75</v>
      </c>
      <c r="BC907" s="3" t="s">
        <v>10091</v>
      </c>
      <c r="BD907" s="3" t="s">
        <v>10092</v>
      </c>
    </row>
    <row r="908" spans="1:56" ht="44.25" customHeight="1" x14ac:dyDescent="0.25">
      <c r="A908" s="7" t="s">
        <v>61</v>
      </c>
      <c r="B908" s="2" t="s">
        <v>10075</v>
      </c>
      <c r="C908" s="2" t="s">
        <v>10076</v>
      </c>
      <c r="D908" s="2" t="s">
        <v>10077</v>
      </c>
      <c r="E908" s="3" t="s">
        <v>87</v>
      </c>
      <c r="F908" s="3" t="s">
        <v>59</v>
      </c>
      <c r="G908" s="3" t="s">
        <v>60</v>
      </c>
      <c r="H908" s="3" t="s">
        <v>61</v>
      </c>
      <c r="I908" s="3" t="s">
        <v>61</v>
      </c>
      <c r="J908" s="3" t="s">
        <v>62</v>
      </c>
      <c r="K908" s="2" t="s">
        <v>10078</v>
      </c>
      <c r="L908" s="2" t="s">
        <v>10079</v>
      </c>
      <c r="M908" s="3" t="s">
        <v>10080</v>
      </c>
      <c r="O908" s="3" t="s">
        <v>114</v>
      </c>
      <c r="P908" s="3" t="s">
        <v>192</v>
      </c>
      <c r="Q908" s="2" t="s">
        <v>9037</v>
      </c>
      <c r="R908" s="3" t="s">
        <v>68</v>
      </c>
      <c r="S908" s="4">
        <v>0</v>
      </c>
      <c r="T908" s="4">
        <v>7</v>
      </c>
      <c r="V908" s="5" t="s">
        <v>10081</v>
      </c>
      <c r="W908" s="5" t="s">
        <v>10082</v>
      </c>
      <c r="X908" s="5" t="s">
        <v>10082</v>
      </c>
      <c r="Y908" s="4">
        <v>397</v>
      </c>
      <c r="Z908" s="4">
        <v>313</v>
      </c>
      <c r="AA908" s="4">
        <v>313</v>
      </c>
      <c r="AB908" s="4">
        <v>4</v>
      </c>
      <c r="AC908" s="4">
        <v>4</v>
      </c>
      <c r="AD908" s="4">
        <v>17</v>
      </c>
      <c r="AE908" s="4">
        <v>17</v>
      </c>
      <c r="AF908" s="4">
        <v>5</v>
      </c>
      <c r="AG908" s="4">
        <v>5</v>
      </c>
      <c r="AH908" s="4">
        <v>3</v>
      </c>
      <c r="AI908" s="4">
        <v>3</v>
      </c>
      <c r="AJ908" s="4">
        <v>8</v>
      </c>
      <c r="AK908" s="4">
        <v>8</v>
      </c>
      <c r="AL908" s="4">
        <v>3</v>
      </c>
      <c r="AM908" s="4">
        <v>3</v>
      </c>
      <c r="AN908" s="4">
        <v>0</v>
      </c>
      <c r="AO908" s="4">
        <v>0</v>
      </c>
      <c r="AP908" s="3" t="s">
        <v>61</v>
      </c>
      <c r="AQ908" s="3" t="s">
        <v>59</v>
      </c>
      <c r="AR908" s="6" t="str">
        <f>HYPERLINK("http://catalog.hathitrust.org/Record/000649904","HathiTrust Record")</f>
        <v>HathiTrust Record</v>
      </c>
      <c r="AS908" s="6" t="str">
        <f>HYPERLINK("https://creighton-primo.hosted.exlibrisgroup.com/primo-explore/search?tab=default_tab&amp;search_scope=EVERYTHING&amp;vid=01CRU&amp;lang=en_US&amp;offset=0&amp;query=any,contains,991002238749702656","Catalog Record")</f>
        <v>Catalog Record</v>
      </c>
      <c r="AT908" s="6" t="str">
        <f>HYPERLINK("http://www.worldcat.org/oclc/296670","WorldCat Record")</f>
        <v>WorldCat Record</v>
      </c>
      <c r="AU908" s="3" t="s">
        <v>10083</v>
      </c>
      <c r="AV908" s="3" t="s">
        <v>10084</v>
      </c>
      <c r="AW908" s="3" t="s">
        <v>10085</v>
      </c>
      <c r="AX908" s="3" t="s">
        <v>10085</v>
      </c>
      <c r="AY908" s="3" t="s">
        <v>10086</v>
      </c>
      <c r="AZ908" s="3" t="s">
        <v>75</v>
      </c>
      <c r="BC908" s="3" t="s">
        <v>10093</v>
      </c>
      <c r="BD908" s="3" t="s">
        <v>10094</v>
      </c>
    </row>
    <row r="909" spans="1:56" ht="44.25" customHeight="1" x14ac:dyDescent="0.25">
      <c r="A909" s="7" t="s">
        <v>61</v>
      </c>
      <c r="B909" s="2" t="s">
        <v>10095</v>
      </c>
      <c r="C909" s="2" t="s">
        <v>10096</v>
      </c>
      <c r="D909" s="2" t="s">
        <v>10097</v>
      </c>
      <c r="F909" s="3" t="s">
        <v>61</v>
      </c>
      <c r="G909" s="3" t="s">
        <v>60</v>
      </c>
      <c r="H909" s="3" t="s">
        <v>61</v>
      </c>
      <c r="I909" s="3" t="s">
        <v>61</v>
      </c>
      <c r="J909" s="3" t="s">
        <v>62</v>
      </c>
      <c r="K909" s="2" t="s">
        <v>10098</v>
      </c>
      <c r="L909" s="2" t="s">
        <v>10099</v>
      </c>
      <c r="M909" s="3" t="s">
        <v>605</v>
      </c>
      <c r="O909" s="3" t="s">
        <v>114</v>
      </c>
      <c r="P909" s="3" t="s">
        <v>9803</v>
      </c>
      <c r="R909" s="3" t="s">
        <v>68</v>
      </c>
      <c r="S909" s="4">
        <v>4</v>
      </c>
      <c r="T909" s="4">
        <v>4</v>
      </c>
      <c r="U909" s="5" t="s">
        <v>5767</v>
      </c>
      <c r="V909" s="5" t="s">
        <v>5767</v>
      </c>
      <c r="W909" s="5" t="s">
        <v>10100</v>
      </c>
      <c r="X909" s="5" t="s">
        <v>10100</v>
      </c>
      <c r="Y909" s="4">
        <v>136</v>
      </c>
      <c r="Z909" s="4">
        <v>56</v>
      </c>
      <c r="AA909" s="4">
        <v>62</v>
      </c>
      <c r="AB909" s="4">
        <v>1</v>
      </c>
      <c r="AC909" s="4">
        <v>1</v>
      </c>
      <c r="AD909" s="4">
        <v>3</v>
      </c>
      <c r="AE909" s="4">
        <v>3</v>
      </c>
      <c r="AF909" s="4">
        <v>1</v>
      </c>
      <c r="AG909" s="4">
        <v>1</v>
      </c>
      <c r="AH909" s="4">
        <v>1</v>
      </c>
      <c r="AI909" s="4">
        <v>1</v>
      </c>
      <c r="AJ909" s="4">
        <v>2</v>
      </c>
      <c r="AK909" s="4">
        <v>2</v>
      </c>
      <c r="AL909" s="4">
        <v>0</v>
      </c>
      <c r="AM909" s="4">
        <v>0</v>
      </c>
      <c r="AN909" s="4">
        <v>0</v>
      </c>
      <c r="AO909" s="4">
        <v>0</v>
      </c>
      <c r="AP909" s="3" t="s">
        <v>61</v>
      </c>
      <c r="AQ909" s="3" t="s">
        <v>59</v>
      </c>
      <c r="AR909" s="6" t="str">
        <f>HYPERLINK("http://catalog.hathitrust.org/Record/002785699","HathiTrust Record")</f>
        <v>HathiTrust Record</v>
      </c>
      <c r="AS909" s="6" t="str">
        <f>HYPERLINK("https://creighton-primo.hosted.exlibrisgroup.com/primo-explore/search?tab=default_tab&amp;search_scope=EVERYTHING&amp;vid=01CRU&amp;lang=en_US&amp;offset=0&amp;query=any,contains,991002020939702656","Catalog Record")</f>
        <v>Catalog Record</v>
      </c>
      <c r="AT909" s="6" t="str">
        <f>HYPERLINK("http://www.worldcat.org/oclc/25709660","WorldCat Record")</f>
        <v>WorldCat Record</v>
      </c>
      <c r="AU909" s="3" t="s">
        <v>10101</v>
      </c>
      <c r="AV909" s="3" t="s">
        <v>10102</v>
      </c>
      <c r="AW909" s="3" t="s">
        <v>10103</v>
      </c>
      <c r="AX909" s="3" t="s">
        <v>10103</v>
      </c>
      <c r="AY909" s="3" t="s">
        <v>10104</v>
      </c>
      <c r="AZ909" s="3" t="s">
        <v>75</v>
      </c>
      <c r="BB909" s="3" t="s">
        <v>10105</v>
      </c>
      <c r="BC909" s="3" t="s">
        <v>10106</v>
      </c>
      <c r="BD909" s="3" t="s">
        <v>10107</v>
      </c>
    </row>
    <row r="910" spans="1:56" ht="44.25" customHeight="1" x14ac:dyDescent="0.25">
      <c r="A910" s="7" t="s">
        <v>61</v>
      </c>
      <c r="B910" s="2" t="s">
        <v>10108</v>
      </c>
      <c r="C910" s="2" t="s">
        <v>10109</v>
      </c>
      <c r="D910" s="2" t="s">
        <v>10110</v>
      </c>
      <c r="F910" s="3" t="s">
        <v>61</v>
      </c>
      <c r="G910" s="3" t="s">
        <v>60</v>
      </c>
      <c r="H910" s="3" t="s">
        <v>61</v>
      </c>
      <c r="I910" s="3" t="s">
        <v>61</v>
      </c>
      <c r="J910" s="3" t="s">
        <v>62</v>
      </c>
      <c r="K910" s="2" t="s">
        <v>10111</v>
      </c>
      <c r="L910" s="2" t="s">
        <v>10112</v>
      </c>
      <c r="M910" s="3" t="s">
        <v>350</v>
      </c>
      <c r="N910" s="2" t="s">
        <v>679</v>
      </c>
      <c r="O910" s="3" t="s">
        <v>114</v>
      </c>
      <c r="P910" s="3" t="s">
        <v>6440</v>
      </c>
      <c r="Q910" s="2" t="s">
        <v>9105</v>
      </c>
      <c r="R910" s="3" t="s">
        <v>68</v>
      </c>
      <c r="S910" s="4">
        <v>3</v>
      </c>
      <c r="T910" s="4">
        <v>3</v>
      </c>
      <c r="U910" s="5" t="s">
        <v>10113</v>
      </c>
      <c r="V910" s="5" t="s">
        <v>10113</v>
      </c>
      <c r="W910" s="5" t="s">
        <v>10114</v>
      </c>
      <c r="X910" s="5" t="s">
        <v>10114</v>
      </c>
      <c r="Y910" s="4">
        <v>221</v>
      </c>
      <c r="Z910" s="4">
        <v>206</v>
      </c>
      <c r="AA910" s="4">
        <v>274</v>
      </c>
      <c r="AB910" s="4">
        <v>2</v>
      </c>
      <c r="AC910" s="4">
        <v>3</v>
      </c>
      <c r="AD910" s="4">
        <v>7</v>
      </c>
      <c r="AE910" s="4">
        <v>11</v>
      </c>
      <c r="AF910" s="4">
        <v>4</v>
      </c>
      <c r="AG910" s="4">
        <v>4</v>
      </c>
      <c r="AH910" s="4">
        <v>1</v>
      </c>
      <c r="AI910" s="4">
        <v>2</v>
      </c>
      <c r="AJ910" s="4">
        <v>2</v>
      </c>
      <c r="AK910" s="4">
        <v>5</v>
      </c>
      <c r="AL910" s="4">
        <v>1</v>
      </c>
      <c r="AM910" s="4">
        <v>2</v>
      </c>
      <c r="AN910" s="4">
        <v>0</v>
      </c>
      <c r="AO910" s="4">
        <v>0</v>
      </c>
      <c r="AP910" s="3" t="s">
        <v>61</v>
      </c>
      <c r="AQ910" s="3" t="s">
        <v>59</v>
      </c>
      <c r="AR910" s="6" t="str">
        <f>HYPERLINK("http://catalog.hathitrust.org/Record/006028281","HathiTrust Record")</f>
        <v>HathiTrust Record</v>
      </c>
      <c r="AS910" s="6" t="str">
        <f>HYPERLINK("https://creighton-primo.hosted.exlibrisgroup.com/primo-explore/search?tab=default_tab&amp;search_scope=EVERYTHING&amp;vid=01CRU&amp;lang=en_US&amp;offset=0&amp;query=any,contains,991004924359702656","Catalog Record")</f>
        <v>Catalog Record</v>
      </c>
      <c r="AT910" s="6" t="str">
        <f>HYPERLINK("http://www.worldcat.org/oclc/6076052","WorldCat Record")</f>
        <v>WorldCat Record</v>
      </c>
      <c r="AU910" s="3" t="s">
        <v>10115</v>
      </c>
      <c r="AV910" s="3" t="s">
        <v>10116</v>
      </c>
      <c r="AW910" s="3" t="s">
        <v>10117</v>
      </c>
      <c r="AX910" s="3" t="s">
        <v>10117</v>
      </c>
      <c r="AY910" s="3" t="s">
        <v>10118</v>
      </c>
      <c r="AZ910" s="3" t="s">
        <v>75</v>
      </c>
      <c r="BB910" s="3" t="s">
        <v>10119</v>
      </c>
      <c r="BC910" s="3" t="s">
        <v>10120</v>
      </c>
      <c r="BD910" s="3" t="s">
        <v>10121</v>
      </c>
    </row>
    <row r="911" spans="1:56" ht="44.25" customHeight="1" x14ac:dyDescent="0.25">
      <c r="A911" s="7" t="s">
        <v>61</v>
      </c>
      <c r="B911" s="2" t="s">
        <v>10122</v>
      </c>
      <c r="C911" s="2" t="s">
        <v>10123</v>
      </c>
      <c r="D911" s="2" t="s">
        <v>10124</v>
      </c>
      <c r="F911" s="3" t="s">
        <v>61</v>
      </c>
      <c r="G911" s="3" t="s">
        <v>60</v>
      </c>
      <c r="H911" s="3" t="s">
        <v>61</v>
      </c>
      <c r="I911" s="3" t="s">
        <v>61</v>
      </c>
      <c r="J911" s="3" t="s">
        <v>62</v>
      </c>
      <c r="K911" s="2" t="s">
        <v>10125</v>
      </c>
      <c r="L911" s="2" t="s">
        <v>10126</v>
      </c>
      <c r="M911" s="3" t="s">
        <v>3279</v>
      </c>
      <c r="O911" s="3" t="s">
        <v>114</v>
      </c>
      <c r="P911" s="3" t="s">
        <v>235</v>
      </c>
      <c r="Q911" s="2" t="s">
        <v>4771</v>
      </c>
      <c r="R911" s="3" t="s">
        <v>68</v>
      </c>
      <c r="S911" s="4">
        <v>1</v>
      </c>
      <c r="T911" s="4">
        <v>1</v>
      </c>
      <c r="U911" s="5" t="s">
        <v>9131</v>
      </c>
      <c r="V911" s="5" t="s">
        <v>9131</v>
      </c>
      <c r="W911" s="5" t="s">
        <v>8668</v>
      </c>
      <c r="X911" s="5" t="s">
        <v>8668</v>
      </c>
      <c r="Y911" s="4">
        <v>83</v>
      </c>
      <c r="Z911" s="4">
        <v>82</v>
      </c>
      <c r="AA911" s="4">
        <v>308</v>
      </c>
      <c r="AB911" s="4">
        <v>1</v>
      </c>
      <c r="AC911" s="4">
        <v>1</v>
      </c>
      <c r="AD911" s="4">
        <v>0</v>
      </c>
      <c r="AE911" s="4">
        <v>6</v>
      </c>
      <c r="AF911" s="4">
        <v>0</v>
      </c>
      <c r="AG911" s="4">
        <v>1</v>
      </c>
      <c r="AH911" s="4">
        <v>0</v>
      </c>
      <c r="AI911" s="4">
        <v>2</v>
      </c>
      <c r="AJ911" s="4">
        <v>0</v>
      </c>
      <c r="AK911" s="4">
        <v>4</v>
      </c>
      <c r="AL911" s="4">
        <v>0</v>
      </c>
      <c r="AM911" s="4">
        <v>0</v>
      </c>
      <c r="AN911" s="4">
        <v>0</v>
      </c>
      <c r="AO911" s="4">
        <v>0</v>
      </c>
      <c r="AP911" s="3" t="s">
        <v>61</v>
      </c>
      <c r="AQ911" s="3" t="s">
        <v>59</v>
      </c>
      <c r="AR911" s="6" t="str">
        <f>HYPERLINK("http://catalog.hathitrust.org/Record/007467847","HathiTrust Record")</f>
        <v>HathiTrust Record</v>
      </c>
      <c r="AS911" s="6" t="str">
        <f>HYPERLINK("https://creighton-primo.hosted.exlibrisgroup.com/primo-explore/search?tab=default_tab&amp;search_scope=EVERYTHING&amp;vid=01CRU&amp;lang=en_US&amp;offset=0&amp;query=any,contains,991002840339702656","Catalog Record")</f>
        <v>Catalog Record</v>
      </c>
      <c r="AT911" s="6" t="str">
        <f>HYPERLINK("http://www.worldcat.org/oclc/482085","WorldCat Record")</f>
        <v>WorldCat Record</v>
      </c>
      <c r="AU911" s="3" t="s">
        <v>10127</v>
      </c>
      <c r="AV911" s="3" t="s">
        <v>10128</v>
      </c>
      <c r="AW911" s="3" t="s">
        <v>10129</v>
      </c>
      <c r="AX911" s="3" t="s">
        <v>10129</v>
      </c>
      <c r="AY911" s="3" t="s">
        <v>10130</v>
      </c>
      <c r="AZ911" s="3" t="s">
        <v>75</v>
      </c>
      <c r="BB911" s="3" t="s">
        <v>10131</v>
      </c>
      <c r="BC911" s="3" t="s">
        <v>10132</v>
      </c>
      <c r="BD911" s="3" t="s">
        <v>10133</v>
      </c>
    </row>
    <row r="912" spans="1:56" ht="44.25" customHeight="1" x14ac:dyDescent="0.25">
      <c r="A912" s="7" t="s">
        <v>61</v>
      </c>
      <c r="B912" s="2" t="s">
        <v>10134</v>
      </c>
      <c r="C912" s="2" t="s">
        <v>10135</v>
      </c>
      <c r="D912" s="2" t="s">
        <v>10136</v>
      </c>
      <c r="F912" s="3" t="s">
        <v>61</v>
      </c>
      <c r="G912" s="3" t="s">
        <v>60</v>
      </c>
      <c r="H912" s="3" t="s">
        <v>61</v>
      </c>
      <c r="I912" s="3" t="s">
        <v>61</v>
      </c>
      <c r="J912" s="3" t="s">
        <v>62</v>
      </c>
      <c r="K912" s="2" t="s">
        <v>10137</v>
      </c>
      <c r="L912" s="2" t="s">
        <v>10138</v>
      </c>
      <c r="M912" s="3" t="s">
        <v>350</v>
      </c>
      <c r="N912" s="2" t="s">
        <v>679</v>
      </c>
      <c r="O912" s="3" t="s">
        <v>114</v>
      </c>
      <c r="P912" s="3" t="s">
        <v>6440</v>
      </c>
      <c r="Q912" s="2" t="s">
        <v>9105</v>
      </c>
      <c r="R912" s="3" t="s">
        <v>68</v>
      </c>
      <c r="S912" s="4">
        <v>4</v>
      </c>
      <c r="T912" s="4">
        <v>4</v>
      </c>
      <c r="U912" s="5" t="s">
        <v>10139</v>
      </c>
      <c r="V912" s="5" t="s">
        <v>10139</v>
      </c>
      <c r="W912" s="5" t="s">
        <v>10114</v>
      </c>
      <c r="X912" s="5" t="s">
        <v>10114</v>
      </c>
      <c r="Y912" s="4">
        <v>233</v>
      </c>
      <c r="Z912" s="4">
        <v>212</v>
      </c>
      <c r="AA912" s="4">
        <v>280</v>
      </c>
      <c r="AB912" s="4">
        <v>2</v>
      </c>
      <c r="AC912" s="4">
        <v>2</v>
      </c>
      <c r="AD912" s="4">
        <v>11</v>
      </c>
      <c r="AE912" s="4">
        <v>12</v>
      </c>
      <c r="AF912" s="4">
        <v>6</v>
      </c>
      <c r="AG912" s="4">
        <v>6</v>
      </c>
      <c r="AH912" s="4">
        <v>2</v>
      </c>
      <c r="AI912" s="4">
        <v>2</v>
      </c>
      <c r="AJ912" s="4">
        <v>5</v>
      </c>
      <c r="AK912" s="4">
        <v>6</v>
      </c>
      <c r="AL912" s="4">
        <v>1</v>
      </c>
      <c r="AM912" s="4">
        <v>1</v>
      </c>
      <c r="AN912" s="4">
        <v>0</v>
      </c>
      <c r="AO912" s="4">
        <v>0</v>
      </c>
      <c r="AP912" s="3" t="s">
        <v>61</v>
      </c>
      <c r="AQ912" s="3" t="s">
        <v>61</v>
      </c>
      <c r="AS912" s="6" t="str">
        <f>HYPERLINK("https://creighton-primo.hosted.exlibrisgroup.com/primo-explore/search?tab=default_tab&amp;search_scope=EVERYTHING&amp;vid=01CRU&amp;lang=en_US&amp;offset=0&amp;query=any,contains,991004924289702656","Catalog Record")</f>
        <v>Catalog Record</v>
      </c>
      <c r="AT912" s="6" t="str">
        <f>HYPERLINK("http://www.worldcat.org/oclc/6075937","WorldCat Record")</f>
        <v>WorldCat Record</v>
      </c>
      <c r="AU912" s="3" t="s">
        <v>10140</v>
      </c>
      <c r="AV912" s="3" t="s">
        <v>10141</v>
      </c>
      <c r="AW912" s="3" t="s">
        <v>10142</v>
      </c>
      <c r="AX912" s="3" t="s">
        <v>10142</v>
      </c>
      <c r="AY912" s="3" t="s">
        <v>10143</v>
      </c>
      <c r="AZ912" s="3" t="s">
        <v>75</v>
      </c>
      <c r="BB912" s="3" t="s">
        <v>10144</v>
      </c>
      <c r="BC912" s="3" t="s">
        <v>10145</v>
      </c>
      <c r="BD912" s="3" t="s">
        <v>10146</v>
      </c>
    </row>
    <row r="913" spans="1:56" ht="44.25" customHeight="1" x14ac:dyDescent="0.25">
      <c r="A913" s="7" t="s">
        <v>61</v>
      </c>
      <c r="B913" s="2" t="s">
        <v>10147</v>
      </c>
      <c r="C913" s="2" t="s">
        <v>10148</v>
      </c>
      <c r="D913" s="2" t="s">
        <v>10149</v>
      </c>
      <c r="F913" s="3" t="s">
        <v>61</v>
      </c>
      <c r="G913" s="3" t="s">
        <v>60</v>
      </c>
      <c r="H913" s="3" t="s">
        <v>61</v>
      </c>
      <c r="I913" s="3" t="s">
        <v>61</v>
      </c>
      <c r="J913" s="3" t="s">
        <v>62</v>
      </c>
      <c r="K913" s="2" t="s">
        <v>10150</v>
      </c>
      <c r="L913" s="2" t="s">
        <v>10151</v>
      </c>
      <c r="M913" s="3" t="s">
        <v>1074</v>
      </c>
      <c r="O913" s="3" t="s">
        <v>114</v>
      </c>
      <c r="P913" s="3" t="s">
        <v>192</v>
      </c>
      <c r="R913" s="3" t="s">
        <v>68</v>
      </c>
      <c r="S913" s="4">
        <v>5</v>
      </c>
      <c r="T913" s="4">
        <v>5</v>
      </c>
      <c r="U913" s="5" t="s">
        <v>10152</v>
      </c>
      <c r="V913" s="5" t="s">
        <v>10152</v>
      </c>
      <c r="W913" s="5" t="s">
        <v>10114</v>
      </c>
      <c r="X913" s="5" t="s">
        <v>10114</v>
      </c>
      <c r="Y913" s="4">
        <v>150</v>
      </c>
      <c r="Z913" s="4">
        <v>75</v>
      </c>
      <c r="AA913" s="4">
        <v>76</v>
      </c>
      <c r="AB913" s="4">
        <v>2</v>
      </c>
      <c r="AC913" s="4">
        <v>2</v>
      </c>
      <c r="AD913" s="4">
        <v>4</v>
      </c>
      <c r="AE913" s="4">
        <v>4</v>
      </c>
      <c r="AF913" s="4">
        <v>0</v>
      </c>
      <c r="AG913" s="4">
        <v>0</v>
      </c>
      <c r="AH913" s="4">
        <v>2</v>
      </c>
      <c r="AI913" s="4">
        <v>2</v>
      </c>
      <c r="AJ913" s="4">
        <v>2</v>
      </c>
      <c r="AK913" s="4">
        <v>2</v>
      </c>
      <c r="AL913" s="4">
        <v>1</v>
      </c>
      <c r="AM913" s="4">
        <v>1</v>
      </c>
      <c r="AN913" s="4">
        <v>0</v>
      </c>
      <c r="AO913" s="4">
        <v>0</v>
      </c>
      <c r="AP913" s="3" t="s">
        <v>61</v>
      </c>
      <c r="AQ913" s="3" t="s">
        <v>59</v>
      </c>
      <c r="AR913" s="6" t="str">
        <f>HYPERLINK("http://catalog.hathitrust.org/Record/000353967","HathiTrust Record")</f>
        <v>HathiTrust Record</v>
      </c>
      <c r="AS913" s="6" t="str">
        <f>HYPERLINK("https://creighton-primo.hosted.exlibrisgroup.com/primo-explore/search?tab=default_tab&amp;search_scope=EVERYTHING&amp;vid=01CRU&amp;lang=en_US&amp;offset=0&amp;query=any,contains,991000680769702656","Catalog Record")</f>
        <v>Catalog Record</v>
      </c>
      <c r="AT913" s="6" t="str">
        <f>HYPERLINK("http://www.worldcat.org/oclc/19670583","WorldCat Record")</f>
        <v>WorldCat Record</v>
      </c>
      <c r="AU913" s="3" t="s">
        <v>10153</v>
      </c>
      <c r="AV913" s="3" t="s">
        <v>10154</v>
      </c>
      <c r="AW913" s="3" t="s">
        <v>10155</v>
      </c>
      <c r="AX913" s="3" t="s">
        <v>10155</v>
      </c>
      <c r="AY913" s="3" t="s">
        <v>10156</v>
      </c>
      <c r="AZ913" s="3" t="s">
        <v>75</v>
      </c>
      <c r="BB913" s="3" t="s">
        <v>10157</v>
      </c>
      <c r="BC913" s="3" t="s">
        <v>10158</v>
      </c>
      <c r="BD913" s="3" t="s">
        <v>10159</v>
      </c>
    </row>
    <row r="914" spans="1:56" ht="44.25" customHeight="1" x14ac:dyDescent="0.25">
      <c r="A914" s="7" t="s">
        <v>61</v>
      </c>
      <c r="B914" s="2" t="s">
        <v>10160</v>
      </c>
      <c r="C914" s="2" t="s">
        <v>10161</v>
      </c>
      <c r="D914" s="2" t="s">
        <v>10162</v>
      </c>
      <c r="F914" s="3" t="s">
        <v>61</v>
      </c>
      <c r="G914" s="3" t="s">
        <v>60</v>
      </c>
      <c r="H914" s="3" t="s">
        <v>61</v>
      </c>
      <c r="I914" s="3" t="s">
        <v>61</v>
      </c>
      <c r="J914" s="3" t="s">
        <v>62</v>
      </c>
      <c r="K914" s="2" t="s">
        <v>10163</v>
      </c>
      <c r="L914" s="2" t="s">
        <v>9207</v>
      </c>
      <c r="M914" s="3" t="s">
        <v>2281</v>
      </c>
      <c r="O914" s="3" t="s">
        <v>114</v>
      </c>
      <c r="P914" s="3" t="s">
        <v>2968</v>
      </c>
      <c r="Q914" s="2" t="s">
        <v>7696</v>
      </c>
      <c r="R914" s="3" t="s">
        <v>68</v>
      </c>
      <c r="S914" s="4">
        <v>12</v>
      </c>
      <c r="T914" s="4">
        <v>12</v>
      </c>
      <c r="U914" s="5" t="s">
        <v>10152</v>
      </c>
      <c r="V914" s="5" t="s">
        <v>10152</v>
      </c>
      <c r="W914" s="5" t="s">
        <v>2283</v>
      </c>
      <c r="X914" s="5" t="s">
        <v>2283</v>
      </c>
      <c r="Y914" s="4">
        <v>2313</v>
      </c>
      <c r="Z914" s="4">
        <v>2173</v>
      </c>
      <c r="AA914" s="4">
        <v>2374</v>
      </c>
      <c r="AB914" s="4">
        <v>21</v>
      </c>
      <c r="AC914" s="4">
        <v>23</v>
      </c>
      <c r="AD914" s="4">
        <v>22</v>
      </c>
      <c r="AE914" s="4">
        <v>27</v>
      </c>
      <c r="AF914" s="4">
        <v>6</v>
      </c>
      <c r="AG914" s="4">
        <v>9</v>
      </c>
      <c r="AH914" s="4">
        <v>3</v>
      </c>
      <c r="AI914" s="4">
        <v>4</v>
      </c>
      <c r="AJ914" s="4">
        <v>12</v>
      </c>
      <c r="AK914" s="4">
        <v>12</v>
      </c>
      <c r="AL914" s="4">
        <v>4</v>
      </c>
      <c r="AM914" s="4">
        <v>5</v>
      </c>
      <c r="AN914" s="4">
        <v>0</v>
      </c>
      <c r="AO914" s="4">
        <v>0</v>
      </c>
      <c r="AP914" s="3" t="s">
        <v>61</v>
      </c>
      <c r="AQ914" s="3" t="s">
        <v>59</v>
      </c>
      <c r="AR914" s="6" t="str">
        <f>HYPERLINK("http://catalog.hathitrust.org/Record/102565666","HathiTrust Record")</f>
        <v>HathiTrust Record</v>
      </c>
      <c r="AS914" s="6" t="str">
        <f>HYPERLINK("https://creighton-primo.hosted.exlibrisgroup.com/primo-explore/search?tab=default_tab&amp;search_scope=EVERYTHING&amp;vid=01CRU&amp;lang=en_US&amp;offset=0&amp;query=any,contains,991004423089702656","Catalog Record")</f>
        <v>Catalog Record</v>
      </c>
      <c r="AT914" s="6" t="str">
        <f>HYPERLINK("http://www.worldcat.org/oclc/3390509","WorldCat Record")</f>
        <v>WorldCat Record</v>
      </c>
      <c r="AU914" s="3" t="s">
        <v>10164</v>
      </c>
      <c r="AV914" s="3" t="s">
        <v>10165</v>
      </c>
      <c r="AW914" s="3" t="s">
        <v>10166</v>
      </c>
      <c r="AX914" s="3" t="s">
        <v>10166</v>
      </c>
      <c r="AY914" s="3" t="s">
        <v>10167</v>
      </c>
      <c r="AZ914" s="3" t="s">
        <v>75</v>
      </c>
      <c r="BC914" s="3" t="s">
        <v>10168</v>
      </c>
      <c r="BD914" s="3" t="s">
        <v>10169</v>
      </c>
    </row>
    <row r="915" spans="1:56" ht="44.25" customHeight="1" x14ac:dyDescent="0.25">
      <c r="A915" s="7" t="s">
        <v>61</v>
      </c>
      <c r="B915" s="2" t="s">
        <v>10170</v>
      </c>
      <c r="C915" s="2" t="s">
        <v>10171</v>
      </c>
      <c r="D915" s="2" t="s">
        <v>10172</v>
      </c>
      <c r="F915" s="3" t="s">
        <v>61</v>
      </c>
      <c r="G915" s="3" t="s">
        <v>60</v>
      </c>
      <c r="H915" s="3" t="s">
        <v>61</v>
      </c>
      <c r="I915" s="3" t="s">
        <v>61</v>
      </c>
      <c r="J915" s="3" t="s">
        <v>62</v>
      </c>
      <c r="K915" s="2" t="s">
        <v>10173</v>
      </c>
      <c r="L915" s="2" t="s">
        <v>10174</v>
      </c>
      <c r="M915" s="3" t="s">
        <v>1758</v>
      </c>
      <c r="O915" s="3" t="s">
        <v>114</v>
      </c>
      <c r="P915" s="3" t="s">
        <v>235</v>
      </c>
      <c r="R915" s="3" t="s">
        <v>68</v>
      </c>
      <c r="S915" s="4">
        <v>7</v>
      </c>
      <c r="T915" s="4">
        <v>7</v>
      </c>
      <c r="U915" s="5" t="s">
        <v>635</v>
      </c>
      <c r="V915" s="5" t="s">
        <v>635</v>
      </c>
      <c r="W915" s="5" t="s">
        <v>10175</v>
      </c>
      <c r="X915" s="5" t="s">
        <v>10175</v>
      </c>
      <c r="Y915" s="4">
        <v>755</v>
      </c>
      <c r="Z915" s="4">
        <v>702</v>
      </c>
      <c r="AA915" s="4">
        <v>792</v>
      </c>
      <c r="AB915" s="4">
        <v>5</v>
      </c>
      <c r="AC915" s="4">
        <v>6</v>
      </c>
      <c r="AD915" s="4">
        <v>11</v>
      </c>
      <c r="AE915" s="4">
        <v>14</v>
      </c>
      <c r="AF915" s="4">
        <v>4</v>
      </c>
      <c r="AG915" s="4">
        <v>5</v>
      </c>
      <c r="AH915" s="4">
        <v>3</v>
      </c>
      <c r="AI915" s="4">
        <v>4</v>
      </c>
      <c r="AJ915" s="4">
        <v>5</v>
      </c>
      <c r="AK915" s="4">
        <v>7</v>
      </c>
      <c r="AL915" s="4">
        <v>3</v>
      </c>
      <c r="AM915" s="4">
        <v>3</v>
      </c>
      <c r="AN915" s="4">
        <v>0</v>
      </c>
      <c r="AO915" s="4">
        <v>0</v>
      </c>
      <c r="AP915" s="3" t="s">
        <v>61</v>
      </c>
      <c r="AQ915" s="3" t="s">
        <v>59</v>
      </c>
      <c r="AR915" s="6" t="str">
        <f>HYPERLINK("http://catalog.hathitrust.org/Record/000084887","HathiTrust Record")</f>
        <v>HathiTrust Record</v>
      </c>
      <c r="AS915" s="6" t="str">
        <f>HYPERLINK("https://creighton-primo.hosted.exlibrisgroup.com/primo-explore/search?tab=default_tab&amp;search_scope=EVERYTHING&amp;vid=01CRU&amp;lang=en_US&amp;offset=0&amp;query=any,contains,991005028359702656","Catalog Record")</f>
        <v>Catalog Record</v>
      </c>
      <c r="AT915" s="6" t="str">
        <f>HYPERLINK("http://www.worldcat.org/oclc/6708126","WorldCat Record")</f>
        <v>WorldCat Record</v>
      </c>
      <c r="AU915" s="3" t="s">
        <v>10176</v>
      </c>
      <c r="AV915" s="3" t="s">
        <v>10177</v>
      </c>
      <c r="AW915" s="3" t="s">
        <v>10178</v>
      </c>
      <c r="AX915" s="3" t="s">
        <v>10178</v>
      </c>
      <c r="AY915" s="3" t="s">
        <v>10179</v>
      </c>
      <c r="AZ915" s="3" t="s">
        <v>75</v>
      </c>
      <c r="BB915" s="3" t="s">
        <v>10180</v>
      </c>
      <c r="BC915" s="3" t="s">
        <v>10181</v>
      </c>
      <c r="BD915" s="3" t="s">
        <v>10182</v>
      </c>
    </row>
    <row r="916" spans="1:56" ht="44.25" customHeight="1" x14ac:dyDescent="0.25">
      <c r="A916" s="7" t="s">
        <v>61</v>
      </c>
      <c r="B916" s="2" t="s">
        <v>10183</v>
      </c>
      <c r="C916" s="2" t="s">
        <v>10184</v>
      </c>
      <c r="D916" s="2" t="s">
        <v>10185</v>
      </c>
      <c r="F916" s="3" t="s">
        <v>61</v>
      </c>
      <c r="G916" s="3" t="s">
        <v>60</v>
      </c>
      <c r="H916" s="3" t="s">
        <v>61</v>
      </c>
      <c r="I916" s="3" t="s">
        <v>61</v>
      </c>
      <c r="J916" s="3" t="s">
        <v>62</v>
      </c>
      <c r="K916" s="2" t="s">
        <v>10186</v>
      </c>
      <c r="L916" s="2" t="s">
        <v>10112</v>
      </c>
      <c r="M916" s="3" t="s">
        <v>350</v>
      </c>
      <c r="N916" s="2" t="s">
        <v>679</v>
      </c>
      <c r="O916" s="3" t="s">
        <v>114</v>
      </c>
      <c r="P916" s="3" t="s">
        <v>1114</v>
      </c>
      <c r="Q916" s="2" t="s">
        <v>9105</v>
      </c>
      <c r="R916" s="3" t="s">
        <v>68</v>
      </c>
      <c r="S916" s="4">
        <v>4</v>
      </c>
      <c r="T916" s="4">
        <v>4</v>
      </c>
      <c r="U916" s="5" t="s">
        <v>10187</v>
      </c>
      <c r="V916" s="5" t="s">
        <v>10187</v>
      </c>
      <c r="W916" s="5" t="s">
        <v>10114</v>
      </c>
      <c r="X916" s="5" t="s">
        <v>10114</v>
      </c>
      <c r="Y916" s="4">
        <v>258</v>
      </c>
      <c r="Z916" s="4">
        <v>244</v>
      </c>
      <c r="AA916" s="4">
        <v>303</v>
      </c>
      <c r="AB916" s="4">
        <v>4</v>
      </c>
      <c r="AC916" s="4">
        <v>4</v>
      </c>
      <c r="AD916" s="4">
        <v>14</v>
      </c>
      <c r="AE916" s="4">
        <v>16</v>
      </c>
      <c r="AF916" s="4">
        <v>6</v>
      </c>
      <c r="AG916" s="4">
        <v>6</v>
      </c>
      <c r="AH916" s="4">
        <v>2</v>
      </c>
      <c r="AI916" s="4">
        <v>4</v>
      </c>
      <c r="AJ916" s="4">
        <v>4</v>
      </c>
      <c r="AK916" s="4">
        <v>5</v>
      </c>
      <c r="AL916" s="4">
        <v>3</v>
      </c>
      <c r="AM916" s="4">
        <v>3</v>
      </c>
      <c r="AN916" s="4">
        <v>0</v>
      </c>
      <c r="AO916" s="4">
        <v>0</v>
      </c>
      <c r="AP916" s="3" t="s">
        <v>61</v>
      </c>
      <c r="AQ916" s="3" t="s">
        <v>59</v>
      </c>
      <c r="AR916" s="6" t="str">
        <f>HYPERLINK("http://catalog.hathitrust.org/Record/006028315","HathiTrust Record")</f>
        <v>HathiTrust Record</v>
      </c>
      <c r="AS916" s="6" t="str">
        <f>HYPERLINK("https://creighton-primo.hosted.exlibrisgroup.com/primo-explore/search?tab=default_tab&amp;search_scope=EVERYTHING&amp;vid=01CRU&amp;lang=en_US&amp;offset=0&amp;query=any,contains,991004922499702656","Catalog Record")</f>
        <v>Catalog Record</v>
      </c>
      <c r="AT916" s="6" t="str">
        <f>HYPERLINK("http://www.worldcat.org/oclc/6058391","WorldCat Record")</f>
        <v>WorldCat Record</v>
      </c>
      <c r="AU916" s="3" t="s">
        <v>10188</v>
      </c>
      <c r="AV916" s="3" t="s">
        <v>10189</v>
      </c>
      <c r="AW916" s="3" t="s">
        <v>10190</v>
      </c>
      <c r="AX916" s="3" t="s">
        <v>10190</v>
      </c>
      <c r="AY916" s="3" t="s">
        <v>10191</v>
      </c>
      <c r="AZ916" s="3" t="s">
        <v>75</v>
      </c>
      <c r="BB916" s="3" t="s">
        <v>10192</v>
      </c>
      <c r="BC916" s="3" t="s">
        <v>10193</v>
      </c>
      <c r="BD916" s="3" t="s">
        <v>10194</v>
      </c>
    </row>
    <row r="917" spans="1:56" ht="44.25" customHeight="1" x14ac:dyDescent="0.25">
      <c r="A917" s="7" t="s">
        <v>61</v>
      </c>
      <c r="B917" s="2" t="s">
        <v>10195</v>
      </c>
      <c r="C917" s="2" t="s">
        <v>10196</v>
      </c>
      <c r="D917" s="2" t="s">
        <v>10197</v>
      </c>
      <c r="F917" s="3" t="s">
        <v>61</v>
      </c>
      <c r="G917" s="3" t="s">
        <v>60</v>
      </c>
      <c r="H917" s="3" t="s">
        <v>61</v>
      </c>
      <c r="I917" s="3" t="s">
        <v>61</v>
      </c>
      <c r="J917" s="3" t="s">
        <v>62</v>
      </c>
      <c r="K917" s="2" t="s">
        <v>7958</v>
      </c>
      <c r="L917" s="2" t="s">
        <v>10198</v>
      </c>
      <c r="M917" s="3" t="s">
        <v>1376</v>
      </c>
      <c r="O917" s="3" t="s">
        <v>114</v>
      </c>
      <c r="P917" s="3" t="s">
        <v>235</v>
      </c>
      <c r="R917" s="3" t="s">
        <v>68</v>
      </c>
      <c r="S917" s="4">
        <v>6</v>
      </c>
      <c r="T917" s="4">
        <v>6</v>
      </c>
      <c r="U917" s="5" t="s">
        <v>8323</v>
      </c>
      <c r="V917" s="5" t="s">
        <v>8323</v>
      </c>
      <c r="W917" s="5" t="s">
        <v>10199</v>
      </c>
      <c r="X917" s="5" t="s">
        <v>10199</v>
      </c>
      <c r="Y917" s="4">
        <v>504</v>
      </c>
      <c r="Z917" s="4">
        <v>470</v>
      </c>
      <c r="AA917" s="4">
        <v>590</v>
      </c>
      <c r="AB917" s="4">
        <v>5</v>
      </c>
      <c r="AC917" s="4">
        <v>5</v>
      </c>
      <c r="AD917" s="4">
        <v>18</v>
      </c>
      <c r="AE917" s="4">
        <v>23</v>
      </c>
      <c r="AF917" s="4">
        <v>9</v>
      </c>
      <c r="AG917" s="4">
        <v>10</v>
      </c>
      <c r="AH917" s="4">
        <v>3</v>
      </c>
      <c r="AI917" s="4">
        <v>6</v>
      </c>
      <c r="AJ917" s="4">
        <v>7</v>
      </c>
      <c r="AK917" s="4">
        <v>9</v>
      </c>
      <c r="AL917" s="4">
        <v>3</v>
      </c>
      <c r="AM917" s="4">
        <v>3</v>
      </c>
      <c r="AN917" s="4">
        <v>0</v>
      </c>
      <c r="AO917" s="4">
        <v>0</v>
      </c>
      <c r="AP917" s="3" t="s">
        <v>61</v>
      </c>
      <c r="AQ917" s="3" t="s">
        <v>61</v>
      </c>
      <c r="AS917" s="6" t="str">
        <f>HYPERLINK("https://creighton-primo.hosted.exlibrisgroup.com/primo-explore/search?tab=default_tab&amp;search_scope=EVERYTHING&amp;vid=01CRU&amp;lang=en_US&amp;offset=0&amp;query=any,contains,991001018439702656","Catalog Record")</f>
        <v>Catalog Record</v>
      </c>
      <c r="AT917" s="6" t="str">
        <f>HYPERLINK("http://www.worldcat.org/oclc/173634","WorldCat Record")</f>
        <v>WorldCat Record</v>
      </c>
      <c r="AU917" s="3" t="s">
        <v>10200</v>
      </c>
      <c r="AV917" s="3" t="s">
        <v>10201</v>
      </c>
      <c r="AW917" s="3" t="s">
        <v>10202</v>
      </c>
      <c r="AX917" s="3" t="s">
        <v>10202</v>
      </c>
      <c r="AY917" s="3" t="s">
        <v>10203</v>
      </c>
      <c r="AZ917" s="3" t="s">
        <v>75</v>
      </c>
      <c r="BC917" s="3" t="s">
        <v>10204</v>
      </c>
      <c r="BD917" s="3" t="s">
        <v>10205</v>
      </c>
    </row>
    <row r="918" spans="1:56" ht="44.25" customHeight="1" x14ac:dyDescent="0.25">
      <c r="A918" s="7" t="s">
        <v>61</v>
      </c>
      <c r="B918" s="2" t="s">
        <v>10206</v>
      </c>
      <c r="C918" s="2" t="s">
        <v>10207</v>
      </c>
      <c r="D918" s="2" t="s">
        <v>10208</v>
      </c>
      <c r="F918" s="3" t="s">
        <v>61</v>
      </c>
      <c r="G918" s="3" t="s">
        <v>60</v>
      </c>
      <c r="H918" s="3" t="s">
        <v>61</v>
      </c>
      <c r="I918" s="3" t="s">
        <v>61</v>
      </c>
      <c r="J918" s="3" t="s">
        <v>62</v>
      </c>
      <c r="K918" s="2" t="s">
        <v>10209</v>
      </c>
      <c r="L918" s="2" t="s">
        <v>10210</v>
      </c>
      <c r="M918" s="3" t="s">
        <v>263</v>
      </c>
      <c r="O918" s="3" t="s">
        <v>114</v>
      </c>
      <c r="P918" s="3" t="s">
        <v>235</v>
      </c>
      <c r="R918" s="3" t="s">
        <v>68</v>
      </c>
      <c r="S918" s="4">
        <v>1</v>
      </c>
      <c r="T918" s="4">
        <v>1</v>
      </c>
      <c r="U918" s="5" t="s">
        <v>10211</v>
      </c>
      <c r="V918" s="5" t="s">
        <v>10211</v>
      </c>
      <c r="W918" s="5" t="s">
        <v>10114</v>
      </c>
      <c r="X918" s="5" t="s">
        <v>10114</v>
      </c>
      <c r="Y918" s="4">
        <v>574</v>
      </c>
      <c r="Z918" s="4">
        <v>519</v>
      </c>
      <c r="AA918" s="4">
        <v>600</v>
      </c>
      <c r="AB918" s="4">
        <v>3</v>
      </c>
      <c r="AC918" s="4">
        <v>4</v>
      </c>
      <c r="AD918" s="4">
        <v>9</v>
      </c>
      <c r="AE918" s="4">
        <v>12</v>
      </c>
      <c r="AF918" s="4">
        <v>6</v>
      </c>
      <c r="AG918" s="4">
        <v>8</v>
      </c>
      <c r="AH918" s="4">
        <v>2</v>
      </c>
      <c r="AI918" s="4">
        <v>3</v>
      </c>
      <c r="AJ918" s="4">
        <v>5</v>
      </c>
      <c r="AK918" s="4">
        <v>5</v>
      </c>
      <c r="AL918" s="4">
        <v>1</v>
      </c>
      <c r="AM918" s="4">
        <v>1</v>
      </c>
      <c r="AN918" s="4">
        <v>0</v>
      </c>
      <c r="AO918" s="4">
        <v>0</v>
      </c>
      <c r="AP918" s="3" t="s">
        <v>61</v>
      </c>
      <c r="AQ918" s="3" t="s">
        <v>59</v>
      </c>
      <c r="AR918" s="6" t="str">
        <f>HYPERLINK("http://catalog.hathitrust.org/Record/000101258","HathiTrust Record")</f>
        <v>HathiTrust Record</v>
      </c>
      <c r="AS918" s="6" t="str">
        <f>HYPERLINK("https://creighton-primo.hosted.exlibrisgroup.com/primo-explore/search?tab=default_tab&amp;search_scope=EVERYTHING&amp;vid=01CRU&amp;lang=en_US&amp;offset=0&amp;query=any,contains,991005188009702656","Catalog Record")</f>
        <v>Catalog Record</v>
      </c>
      <c r="AT918" s="6" t="str">
        <f>HYPERLINK("http://www.worldcat.org/oclc/7978063","WorldCat Record")</f>
        <v>WorldCat Record</v>
      </c>
      <c r="AU918" s="3" t="s">
        <v>10212</v>
      </c>
      <c r="AV918" s="3" t="s">
        <v>10213</v>
      </c>
      <c r="AW918" s="3" t="s">
        <v>10214</v>
      </c>
      <c r="AX918" s="3" t="s">
        <v>10214</v>
      </c>
      <c r="AY918" s="3" t="s">
        <v>10215</v>
      </c>
      <c r="AZ918" s="3" t="s">
        <v>75</v>
      </c>
      <c r="BB918" s="3" t="s">
        <v>10216</v>
      </c>
      <c r="BC918" s="3" t="s">
        <v>10217</v>
      </c>
      <c r="BD918" s="3" t="s">
        <v>10218</v>
      </c>
    </row>
    <row r="919" spans="1:56" ht="44.25" customHeight="1" x14ac:dyDescent="0.25">
      <c r="A919" s="7" t="s">
        <v>61</v>
      </c>
      <c r="B919" s="2" t="s">
        <v>10219</v>
      </c>
      <c r="C919" s="2" t="s">
        <v>10220</v>
      </c>
      <c r="D919" s="2" t="s">
        <v>10221</v>
      </c>
      <c r="F919" s="3" t="s">
        <v>61</v>
      </c>
      <c r="G919" s="3" t="s">
        <v>60</v>
      </c>
      <c r="H919" s="3" t="s">
        <v>61</v>
      </c>
      <c r="I919" s="3" t="s">
        <v>61</v>
      </c>
      <c r="J919" s="3" t="s">
        <v>62</v>
      </c>
      <c r="K919" s="2" t="s">
        <v>10222</v>
      </c>
      <c r="L919" s="2" t="s">
        <v>10223</v>
      </c>
      <c r="M919" s="3" t="s">
        <v>1074</v>
      </c>
      <c r="O919" s="3" t="s">
        <v>114</v>
      </c>
      <c r="P919" s="3" t="s">
        <v>235</v>
      </c>
      <c r="R919" s="3" t="s">
        <v>68</v>
      </c>
      <c r="S919" s="4">
        <v>10</v>
      </c>
      <c r="T919" s="4">
        <v>10</v>
      </c>
      <c r="U919" s="5" t="s">
        <v>8323</v>
      </c>
      <c r="V919" s="5" t="s">
        <v>8323</v>
      </c>
      <c r="W919" s="5" t="s">
        <v>10114</v>
      </c>
      <c r="X919" s="5" t="s">
        <v>10114</v>
      </c>
      <c r="Y919" s="4">
        <v>2517</v>
      </c>
      <c r="Z919" s="4">
        <v>2357</v>
      </c>
      <c r="AA919" s="4">
        <v>2753</v>
      </c>
      <c r="AB919" s="4">
        <v>25</v>
      </c>
      <c r="AC919" s="4">
        <v>27</v>
      </c>
      <c r="AD919" s="4">
        <v>56</v>
      </c>
      <c r="AE919" s="4">
        <v>59</v>
      </c>
      <c r="AF919" s="4">
        <v>23</v>
      </c>
      <c r="AG919" s="4">
        <v>25</v>
      </c>
      <c r="AH919" s="4">
        <v>10</v>
      </c>
      <c r="AI919" s="4">
        <v>10</v>
      </c>
      <c r="AJ919" s="4">
        <v>24</v>
      </c>
      <c r="AK919" s="4">
        <v>26</v>
      </c>
      <c r="AL919" s="4">
        <v>12</v>
      </c>
      <c r="AM919" s="4">
        <v>12</v>
      </c>
      <c r="AN919" s="4">
        <v>0</v>
      </c>
      <c r="AO919" s="4">
        <v>0</v>
      </c>
      <c r="AP919" s="3" t="s">
        <v>61</v>
      </c>
      <c r="AQ919" s="3" t="s">
        <v>59</v>
      </c>
      <c r="AR919" s="6" t="str">
        <f>HYPERLINK("http://catalog.hathitrust.org/Record/000289363","HathiTrust Record")</f>
        <v>HathiTrust Record</v>
      </c>
      <c r="AS919" s="6" t="str">
        <f>HYPERLINK("https://creighton-primo.hosted.exlibrisgroup.com/primo-explore/search?tab=default_tab&amp;search_scope=EVERYTHING&amp;vid=01CRU&amp;lang=en_US&amp;offset=0&amp;query=any,contains,991000473569702656","Catalog Record")</f>
        <v>Catalog Record</v>
      </c>
      <c r="AT919" s="6" t="str">
        <f>HYPERLINK("http://www.worldcat.org/oclc/10998802","WorldCat Record")</f>
        <v>WorldCat Record</v>
      </c>
      <c r="AU919" s="3" t="s">
        <v>10224</v>
      </c>
      <c r="AV919" s="3" t="s">
        <v>10225</v>
      </c>
      <c r="AW919" s="3" t="s">
        <v>10226</v>
      </c>
      <c r="AX919" s="3" t="s">
        <v>10226</v>
      </c>
      <c r="AY919" s="3" t="s">
        <v>10227</v>
      </c>
      <c r="AZ919" s="3" t="s">
        <v>75</v>
      </c>
      <c r="BB919" s="3" t="s">
        <v>10228</v>
      </c>
      <c r="BC919" s="3" t="s">
        <v>10229</v>
      </c>
      <c r="BD919" s="3" t="s">
        <v>10230</v>
      </c>
    </row>
    <row r="920" spans="1:56" ht="44.25" customHeight="1" x14ac:dyDescent="0.25">
      <c r="A920" s="7" t="s">
        <v>61</v>
      </c>
      <c r="B920" s="2" t="s">
        <v>10231</v>
      </c>
      <c r="C920" s="2" t="s">
        <v>10232</v>
      </c>
      <c r="D920" s="2" t="s">
        <v>10233</v>
      </c>
      <c r="F920" s="3" t="s">
        <v>61</v>
      </c>
      <c r="G920" s="3" t="s">
        <v>60</v>
      </c>
      <c r="H920" s="3" t="s">
        <v>61</v>
      </c>
      <c r="I920" s="3" t="s">
        <v>61</v>
      </c>
      <c r="J920" s="3" t="s">
        <v>62</v>
      </c>
      <c r="K920" s="2" t="s">
        <v>10234</v>
      </c>
      <c r="L920" s="2" t="s">
        <v>10235</v>
      </c>
      <c r="M920" s="3" t="s">
        <v>2797</v>
      </c>
      <c r="O920" s="3" t="s">
        <v>114</v>
      </c>
      <c r="P920" s="3" t="s">
        <v>235</v>
      </c>
      <c r="R920" s="3" t="s">
        <v>68</v>
      </c>
      <c r="S920" s="4">
        <v>4</v>
      </c>
      <c r="T920" s="4">
        <v>4</v>
      </c>
      <c r="U920" s="5" t="s">
        <v>7896</v>
      </c>
      <c r="V920" s="5" t="s">
        <v>7896</v>
      </c>
      <c r="W920" s="5" t="s">
        <v>7884</v>
      </c>
      <c r="X920" s="5" t="s">
        <v>7884</v>
      </c>
      <c r="Y920" s="4">
        <v>1148</v>
      </c>
      <c r="Z920" s="4">
        <v>1099</v>
      </c>
      <c r="AA920" s="4">
        <v>1302</v>
      </c>
      <c r="AB920" s="4">
        <v>11</v>
      </c>
      <c r="AC920" s="4">
        <v>13</v>
      </c>
      <c r="AD920" s="4">
        <v>35</v>
      </c>
      <c r="AE920" s="4">
        <v>40</v>
      </c>
      <c r="AF920" s="4">
        <v>17</v>
      </c>
      <c r="AG920" s="4">
        <v>20</v>
      </c>
      <c r="AH920" s="4">
        <v>5</v>
      </c>
      <c r="AI920" s="4">
        <v>6</v>
      </c>
      <c r="AJ920" s="4">
        <v>19</v>
      </c>
      <c r="AK920" s="4">
        <v>20</v>
      </c>
      <c r="AL920" s="4">
        <v>3</v>
      </c>
      <c r="AM920" s="4">
        <v>4</v>
      </c>
      <c r="AN920" s="4">
        <v>0</v>
      </c>
      <c r="AO920" s="4">
        <v>0</v>
      </c>
      <c r="AP920" s="3" t="s">
        <v>61</v>
      </c>
      <c r="AQ920" s="3" t="s">
        <v>59</v>
      </c>
      <c r="AR920" s="6" t="str">
        <f>HYPERLINK("http://catalog.hathitrust.org/Record/000492891","HathiTrust Record")</f>
        <v>HathiTrust Record</v>
      </c>
      <c r="AS920" s="6" t="str">
        <f>HYPERLINK("https://creighton-primo.hosted.exlibrisgroup.com/primo-explore/search?tab=default_tab&amp;search_scope=EVERYTHING&amp;vid=01CRU&amp;lang=en_US&amp;offset=0&amp;query=any,contains,991002269249702656","Catalog Record")</f>
        <v>Catalog Record</v>
      </c>
      <c r="AT920" s="6" t="str">
        <f>HYPERLINK("http://www.worldcat.org/oclc/307658","WorldCat Record")</f>
        <v>WorldCat Record</v>
      </c>
      <c r="AU920" s="3" t="s">
        <v>10236</v>
      </c>
      <c r="AV920" s="3" t="s">
        <v>10237</v>
      </c>
      <c r="AW920" s="3" t="s">
        <v>10238</v>
      </c>
      <c r="AX920" s="3" t="s">
        <v>10238</v>
      </c>
      <c r="AY920" s="3" t="s">
        <v>10239</v>
      </c>
      <c r="AZ920" s="3" t="s">
        <v>75</v>
      </c>
      <c r="BC920" s="3" t="s">
        <v>10240</v>
      </c>
      <c r="BD920" s="3" t="s">
        <v>10241</v>
      </c>
    </row>
    <row r="921" spans="1:56" ht="44.25" customHeight="1" x14ac:dyDescent="0.25">
      <c r="A921" s="7" t="s">
        <v>61</v>
      </c>
      <c r="B921" s="2" t="s">
        <v>10242</v>
      </c>
      <c r="C921" s="2" t="s">
        <v>10243</v>
      </c>
      <c r="D921" s="2" t="s">
        <v>10244</v>
      </c>
      <c r="F921" s="3" t="s">
        <v>61</v>
      </c>
      <c r="G921" s="3" t="s">
        <v>60</v>
      </c>
      <c r="H921" s="3" t="s">
        <v>61</v>
      </c>
      <c r="I921" s="3" t="s">
        <v>61</v>
      </c>
      <c r="J921" s="3" t="s">
        <v>62</v>
      </c>
      <c r="K921" s="2" t="s">
        <v>10245</v>
      </c>
      <c r="L921" s="2" t="s">
        <v>10246</v>
      </c>
      <c r="M921" s="3" t="s">
        <v>1376</v>
      </c>
      <c r="O921" s="3" t="s">
        <v>114</v>
      </c>
      <c r="P921" s="3" t="s">
        <v>619</v>
      </c>
      <c r="R921" s="3" t="s">
        <v>68</v>
      </c>
      <c r="S921" s="4">
        <v>6</v>
      </c>
      <c r="T921" s="4">
        <v>6</v>
      </c>
      <c r="U921" s="5" t="s">
        <v>10247</v>
      </c>
      <c r="V921" s="5" t="s">
        <v>10247</v>
      </c>
      <c r="W921" s="5" t="s">
        <v>10248</v>
      </c>
      <c r="X921" s="5" t="s">
        <v>10248</v>
      </c>
      <c r="Y921" s="4">
        <v>190</v>
      </c>
      <c r="Z921" s="4">
        <v>164</v>
      </c>
      <c r="AA921" s="4">
        <v>456</v>
      </c>
      <c r="AB921" s="4">
        <v>2</v>
      </c>
      <c r="AC921" s="4">
        <v>4</v>
      </c>
      <c r="AD921" s="4">
        <v>9</v>
      </c>
      <c r="AE921" s="4">
        <v>19</v>
      </c>
      <c r="AF921" s="4">
        <v>4</v>
      </c>
      <c r="AG921" s="4">
        <v>5</v>
      </c>
      <c r="AH921" s="4">
        <v>2</v>
      </c>
      <c r="AI921" s="4">
        <v>4</v>
      </c>
      <c r="AJ921" s="4">
        <v>5</v>
      </c>
      <c r="AK921" s="4">
        <v>11</v>
      </c>
      <c r="AL921" s="4">
        <v>1</v>
      </c>
      <c r="AM921" s="4">
        <v>3</v>
      </c>
      <c r="AN921" s="4">
        <v>0</v>
      </c>
      <c r="AO921" s="4">
        <v>0</v>
      </c>
      <c r="AP921" s="3" t="s">
        <v>61</v>
      </c>
      <c r="AQ921" s="3" t="s">
        <v>59</v>
      </c>
      <c r="AR921" s="6" t="str">
        <f>HYPERLINK("http://catalog.hathitrust.org/Record/007557896","HathiTrust Record")</f>
        <v>HathiTrust Record</v>
      </c>
      <c r="AS921" s="6" t="str">
        <f>HYPERLINK("https://creighton-primo.hosted.exlibrisgroup.com/primo-explore/search?tab=default_tab&amp;search_scope=EVERYTHING&amp;vid=01CRU&amp;lang=en_US&amp;offset=0&amp;query=any,contains,991000162349702656","Catalog Record")</f>
        <v>Catalog Record</v>
      </c>
      <c r="AT921" s="6" t="str">
        <f>HYPERLINK("http://www.worldcat.org/oclc/61533","WorldCat Record")</f>
        <v>WorldCat Record</v>
      </c>
      <c r="AU921" s="3" t="s">
        <v>10249</v>
      </c>
      <c r="AV921" s="3" t="s">
        <v>10250</v>
      </c>
      <c r="AW921" s="3" t="s">
        <v>10251</v>
      </c>
      <c r="AX921" s="3" t="s">
        <v>10251</v>
      </c>
      <c r="AY921" s="3" t="s">
        <v>10252</v>
      </c>
      <c r="AZ921" s="3" t="s">
        <v>75</v>
      </c>
      <c r="BB921" s="3" t="s">
        <v>10253</v>
      </c>
      <c r="BC921" s="3" t="s">
        <v>10254</v>
      </c>
      <c r="BD921" s="3" t="s">
        <v>10255</v>
      </c>
    </row>
    <row r="922" spans="1:56" ht="44.25" customHeight="1" x14ac:dyDescent="0.25">
      <c r="A922" s="7" t="s">
        <v>61</v>
      </c>
      <c r="B922" s="2" t="s">
        <v>10256</v>
      </c>
      <c r="C922" s="2" t="s">
        <v>10257</v>
      </c>
      <c r="D922" s="2" t="s">
        <v>10258</v>
      </c>
      <c r="F922" s="3" t="s">
        <v>61</v>
      </c>
      <c r="G922" s="3" t="s">
        <v>60</v>
      </c>
      <c r="H922" s="3" t="s">
        <v>61</v>
      </c>
      <c r="I922" s="3" t="s">
        <v>61</v>
      </c>
      <c r="J922" s="3" t="s">
        <v>62</v>
      </c>
      <c r="K922" s="2" t="s">
        <v>10259</v>
      </c>
      <c r="L922" s="2" t="s">
        <v>10260</v>
      </c>
      <c r="M922" s="3" t="s">
        <v>263</v>
      </c>
      <c r="O922" s="3" t="s">
        <v>114</v>
      </c>
      <c r="P922" s="3" t="s">
        <v>2432</v>
      </c>
      <c r="R922" s="3" t="s">
        <v>68</v>
      </c>
      <c r="S922" s="4">
        <v>2</v>
      </c>
      <c r="T922" s="4">
        <v>2</v>
      </c>
      <c r="U922" s="5" t="s">
        <v>10261</v>
      </c>
      <c r="V922" s="5" t="s">
        <v>10261</v>
      </c>
      <c r="W922" s="5" t="s">
        <v>10262</v>
      </c>
      <c r="X922" s="5" t="s">
        <v>10262</v>
      </c>
      <c r="Y922" s="4">
        <v>346</v>
      </c>
      <c r="Z922" s="4">
        <v>318</v>
      </c>
      <c r="AA922" s="4">
        <v>539</v>
      </c>
      <c r="AB922" s="4">
        <v>3</v>
      </c>
      <c r="AC922" s="4">
        <v>4</v>
      </c>
      <c r="AD922" s="4">
        <v>12</v>
      </c>
      <c r="AE922" s="4">
        <v>22</v>
      </c>
      <c r="AF922" s="4">
        <v>6</v>
      </c>
      <c r="AG922" s="4">
        <v>11</v>
      </c>
      <c r="AH922" s="4">
        <v>4</v>
      </c>
      <c r="AI922" s="4">
        <v>7</v>
      </c>
      <c r="AJ922" s="4">
        <v>7</v>
      </c>
      <c r="AK922" s="4">
        <v>9</v>
      </c>
      <c r="AL922" s="4">
        <v>1</v>
      </c>
      <c r="AM922" s="4">
        <v>2</v>
      </c>
      <c r="AN922" s="4">
        <v>0</v>
      </c>
      <c r="AO922" s="4">
        <v>1</v>
      </c>
      <c r="AP922" s="3" t="s">
        <v>61</v>
      </c>
      <c r="AQ922" s="3" t="s">
        <v>61</v>
      </c>
      <c r="AS922" s="6" t="str">
        <f>HYPERLINK("https://creighton-primo.hosted.exlibrisgroup.com/primo-explore/search?tab=default_tab&amp;search_scope=EVERYTHING&amp;vid=01CRU&amp;lang=en_US&amp;offset=0&amp;query=any,contains,991005214909702656","Catalog Record")</f>
        <v>Catalog Record</v>
      </c>
      <c r="AT922" s="6" t="str">
        <f>HYPERLINK("http://www.worldcat.org/oclc/8176754","WorldCat Record")</f>
        <v>WorldCat Record</v>
      </c>
      <c r="AU922" s="3" t="s">
        <v>10263</v>
      </c>
      <c r="AV922" s="3" t="s">
        <v>10264</v>
      </c>
      <c r="AW922" s="3" t="s">
        <v>10265</v>
      </c>
      <c r="AX922" s="3" t="s">
        <v>10265</v>
      </c>
      <c r="AY922" s="3" t="s">
        <v>10266</v>
      </c>
      <c r="AZ922" s="3" t="s">
        <v>75</v>
      </c>
      <c r="BB922" s="3" t="s">
        <v>10267</v>
      </c>
      <c r="BC922" s="3" t="s">
        <v>10268</v>
      </c>
      <c r="BD922" s="3" t="s">
        <v>10269</v>
      </c>
    </row>
    <row r="923" spans="1:56" ht="44.25" customHeight="1" x14ac:dyDescent="0.25">
      <c r="A923" s="7" t="s">
        <v>61</v>
      </c>
      <c r="B923" s="2" t="s">
        <v>10270</v>
      </c>
      <c r="C923" s="2" t="s">
        <v>10271</v>
      </c>
      <c r="D923" s="2" t="s">
        <v>10272</v>
      </c>
      <c r="F923" s="3" t="s">
        <v>61</v>
      </c>
      <c r="G923" s="3" t="s">
        <v>60</v>
      </c>
      <c r="H923" s="3" t="s">
        <v>61</v>
      </c>
      <c r="I923" s="3" t="s">
        <v>61</v>
      </c>
      <c r="J923" s="3" t="s">
        <v>62</v>
      </c>
      <c r="K923" s="2" t="s">
        <v>10273</v>
      </c>
      <c r="L923" s="2" t="s">
        <v>9207</v>
      </c>
      <c r="M923" s="3" t="s">
        <v>2281</v>
      </c>
      <c r="O923" s="3" t="s">
        <v>114</v>
      </c>
      <c r="P923" s="3" t="s">
        <v>2968</v>
      </c>
      <c r="Q923" s="2" t="s">
        <v>7696</v>
      </c>
      <c r="R923" s="3" t="s">
        <v>68</v>
      </c>
      <c r="S923" s="4">
        <v>12</v>
      </c>
      <c r="T923" s="4">
        <v>12</v>
      </c>
      <c r="U923" s="5" t="s">
        <v>8171</v>
      </c>
      <c r="V923" s="5" t="s">
        <v>8171</v>
      </c>
      <c r="W923" s="5" t="s">
        <v>8628</v>
      </c>
      <c r="X923" s="5" t="s">
        <v>8628</v>
      </c>
      <c r="Y923" s="4">
        <v>2262</v>
      </c>
      <c r="Z923" s="4">
        <v>2123</v>
      </c>
      <c r="AA923" s="4">
        <v>2402</v>
      </c>
      <c r="AB923" s="4">
        <v>17</v>
      </c>
      <c r="AC923" s="4">
        <v>21</v>
      </c>
      <c r="AD923" s="4">
        <v>25</v>
      </c>
      <c r="AE923" s="4">
        <v>28</v>
      </c>
      <c r="AF923" s="4">
        <v>10</v>
      </c>
      <c r="AG923" s="4">
        <v>12</v>
      </c>
      <c r="AH923" s="4">
        <v>3</v>
      </c>
      <c r="AI923" s="4">
        <v>3</v>
      </c>
      <c r="AJ923" s="4">
        <v>12</v>
      </c>
      <c r="AK923" s="4">
        <v>13</v>
      </c>
      <c r="AL923" s="4">
        <v>4</v>
      </c>
      <c r="AM923" s="4">
        <v>5</v>
      </c>
      <c r="AN923" s="4">
        <v>0</v>
      </c>
      <c r="AO923" s="4">
        <v>0</v>
      </c>
      <c r="AP923" s="3" t="s">
        <v>61</v>
      </c>
      <c r="AQ923" s="3" t="s">
        <v>61</v>
      </c>
      <c r="AS923" s="6" t="str">
        <f>HYPERLINK("https://creighton-primo.hosted.exlibrisgroup.com/primo-explore/search?tab=default_tab&amp;search_scope=EVERYTHING&amp;vid=01CRU&amp;lang=en_US&amp;offset=0&amp;query=any,contains,991004290149702656","Catalog Record")</f>
        <v>Catalog Record</v>
      </c>
      <c r="AT923" s="6" t="str">
        <f>HYPERLINK("http://www.worldcat.org/oclc/2941738","WorldCat Record")</f>
        <v>WorldCat Record</v>
      </c>
      <c r="AU923" s="3" t="s">
        <v>10274</v>
      </c>
      <c r="AV923" s="3" t="s">
        <v>10275</v>
      </c>
      <c r="AW923" s="3" t="s">
        <v>10276</v>
      </c>
      <c r="AX923" s="3" t="s">
        <v>10276</v>
      </c>
      <c r="AY923" s="3" t="s">
        <v>10277</v>
      </c>
      <c r="AZ923" s="3" t="s">
        <v>75</v>
      </c>
      <c r="BC923" s="3" t="s">
        <v>10278</v>
      </c>
      <c r="BD923" s="3" t="s">
        <v>10279</v>
      </c>
    </row>
    <row r="924" spans="1:56" ht="44.25" customHeight="1" x14ac:dyDescent="0.25">
      <c r="A924" s="7" t="s">
        <v>61</v>
      </c>
      <c r="B924" s="2" t="s">
        <v>10280</v>
      </c>
      <c r="C924" s="2" t="s">
        <v>10281</v>
      </c>
      <c r="D924" s="2" t="s">
        <v>10282</v>
      </c>
      <c r="F924" s="3" t="s">
        <v>61</v>
      </c>
      <c r="G924" s="3" t="s">
        <v>60</v>
      </c>
      <c r="H924" s="3" t="s">
        <v>61</v>
      </c>
      <c r="I924" s="3" t="s">
        <v>61</v>
      </c>
      <c r="J924" s="3" t="s">
        <v>62</v>
      </c>
      <c r="K924" s="2" t="s">
        <v>10283</v>
      </c>
      <c r="L924" s="2" t="s">
        <v>10284</v>
      </c>
      <c r="M924" s="3" t="s">
        <v>350</v>
      </c>
      <c r="O924" s="3" t="s">
        <v>114</v>
      </c>
      <c r="P924" s="3" t="s">
        <v>192</v>
      </c>
      <c r="R924" s="3" t="s">
        <v>68</v>
      </c>
      <c r="S924" s="4">
        <v>3</v>
      </c>
      <c r="T924" s="4">
        <v>3</v>
      </c>
      <c r="U924" s="5" t="s">
        <v>10285</v>
      </c>
      <c r="V924" s="5" t="s">
        <v>10285</v>
      </c>
      <c r="W924" s="5" t="s">
        <v>10114</v>
      </c>
      <c r="X924" s="5" t="s">
        <v>10114</v>
      </c>
      <c r="Y924" s="4">
        <v>172</v>
      </c>
      <c r="Z924" s="4">
        <v>123</v>
      </c>
      <c r="AA924" s="4">
        <v>1690</v>
      </c>
      <c r="AB924" s="4">
        <v>1</v>
      </c>
      <c r="AC924" s="4">
        <v>9</v>
      </c>
      <c r="AD924" s="4">
        <v>1</v>
      </c>
      <c r="AE924" s="4">
        <v>46</v>
      </c>
      <c r="AF924" s="4">
        <v>0</v>
      </c>
      <c r="AG924" s="4">
        <v>19</v>
      </c>
      <c r="AH924" s="4">
        <v>1</v>
      </c>
      <c r="AI924" s="4">
        <v>10</v>
      </c>
      <c r="AJ924" s="4">
        <v>0</v>
      </c>
      <c r="AK924" s="4">
        <v>20</v>
      </c>
      <c r="AL924" s="4">
        <v>0</v>
      </c>
      <c r="AM924" s="4">
        <v>7</v>
      </c>
      <c r="AN924" s="4">
        <v>0</v>
      </c>
      <c r="AO924" s="4">
        <v>0</v>
      </c>
      <c r="AP924" s="3" t="s">
        <v>61</v>
      </c>
      <c r="AQ924" s="3" t="s">
        <v>61</v>
      </c>
      <c r="AS924" s="6" t="str">
        <f>HYPERLINK("https://creighton-primo.hosted.exlibrisgroup.com/primo-explore/search?tab=default_tab&amp;search_scope=EVERYTHING&amp;vid=01CRU&amp;lang=en_US&amp;offset=0&amp;query=any,contains,991004721299702656","Catalog Record")</f>
        <v>Catalog Record</v>
      </c>
      <c r="AT924" s="6" t="str">
        <f>HYPERLINK("http://www.worldcat.org/oclc/4804584","WorldCat Record")</f>
        <v>WorldCat Record</v>
      </c>
      <c r="AU924" s="3" t="s">
        <v>10286</v>
      </c>
      <c r="AV924" s="3" t="s">
        <v>10287</v>
      </c>
      <c r="AW924" s="3" t="s">
        <v>10288</v>
      </c>
      <c r="AX924" s="3" t="s">
        <v>10288</v>
      </c>
      <c r="AY924" s="3" t="s">
        <v>10289</v>
      </c>
      <c r="AZ924" s="3" t="s">
        <v>75</v>
      </c>
      <c r="BB924" s="3" t="s">
        <v>10290</v>
      </c>
      <c r="BC924" s="3" t="s">
        <v>10291</v>
      </c>
      <c r="BD924" s="3" t="s">
        <v>10292</v>
      </c>
    </row>
    <row r="925" spans="1:56" ht="44.25" customHeight="1" x14ac:dyDescent="0.25">
      <c r="A925" s="7" t="s">
        <v>61</v>
      </c>
      <c r="B925" s="2" t="s">
        <v>10293</v>
      </c>
      <c r="C925" s="2" t="s">
        <v>10294</v>
      </c>
      <c r="D925" s="2" t="s">
        <v>10295</v>
      </c>
      <c r="F925" s="3" t="s">
        <v>61</v>
      </c>
      <c r="G925" s="3" t="s">
        <v>60</v>
      </c>
      <c r="H925" s="3" t="s">
        <v>61</v>
      </c>
      <c r="I925" s="3" t="s">
        <v>61</v>
      </c>
      <c r="J925" s="3" t="s">
        <v>62</v>
      </c>
      <c r="K925" s="2" t="s">
        <v>8475</v>
      </c>
      <c r="L925" s="2" t="s">
        <v>10296</v>
      </c>
      <c r="M925" s="3" t="s">
        <v>113</v>
      </c>
      <c r="N925" s="2" t="s">
        <v>10297</v>
      </c>
      <c r="O925" s="3" t="s">
        <v>114</v>
      </c>
      <c r="P925" s="3" t="s">
        <v>1114</v>
      </c>
      <c r="R925" s="3" t="s">
        <v>68</v>
      </c>
      <c r="S925" s="4">
        <v>31</v>
      </c>
      <c r="T925" s="4">
        <v>31</v>
      </c>
      <c r="U925" s="5" t="s">
        <v>10298</v>
      </c>
      <c r="V925" s="5" t="s">
        <v>10298</v>
      </c>
      <c r="W925" s="5" t="s">
        <v>6482</v>
      </c>
      <c r="X925" s="5" t="s">
        <v>6482</v>
      </c>
      <c r="Y925" s="4">
        <v>1184</v>
      </c>
      <c r="Z925" s="4">
        <v>1044</v>
      </c>
      <c r="AA925" s="4">
        <v>1289</v>
      </c>
      <c r="AB925" s="4">
        <v>9</v>
      </c>
      <c r="AC925" s="4">
        <v>11</v>
      </c>
      <c r="AD925" s="4">
        <v>42</v>
      </c>
      <c r="AE925" s="4">
        <v>46</v>
      </c>
      <c r="AF925" s="4">
        <v>17</v>
      </c>
      <c r="AG925" s="4">
        <v>19</v>
      </c>
      <c r="AH925" s="4">
        <v>9</v>
      </c>
      <c r="AI925" s="4">
        <v>10</v>
      </c>
      <c r="AJ925" s="4">
        <v>20</v>
      </c>
      <c r="AK925" s="4">
        <v>20</v>
      </c>
      <c r="AL925" s="4">
        <v>8</v>
      </c>
      <c r="AM925" s="4">
        <v>9</v>
      </c>
      <c r="AN925" s="4">
        <v>0</v>
      </c>
      <c r="AO925" s="4">
        <v>0</v>
      </c>
      <c r="AP925" s="3" t="s">
        <v>61</v>
      </c>
      <c r="AQ925" s="3" t="s">
        <v>61</v>
      </c>
      <c r="AS925" s="6" t="str">
        <f>HYPERLINK("https://creighton-primo.hosted.exlibrisgroup.com/primo-explore/search?tab=default_tab&amp;search_scope=EVERYTHING&amp;vid=01CRU&amp;lang=en_US&amp;offset=0&amp;query=any,contains,991002676339702656","Catalog Record")</f>
        <v>Catalog Record</v>
      </c>
      <c r="AT925" s="6" t="str">
        <f>HYPERLINK("http://www.worldcat.org/oclc/397111","WorldCat Record")</f>
        <v>WorldCat Record</v>
      </c>
      <c r="AU925" s="3" t="s">
        <v>10299</v>
      </c>
      <c r="AV925" s="3" t="s">
        <v>10300</v>
      </c>
      <c r="AW925" s="3" t="s">
        <v>10301</v>
      </c>
      <c r="AX925" s="3" t="s">
        <v>10301</v>
      </c>
      <c r="AY925" s="3" t="s">
        <v>10302</v>
      </c>
      <c r="AZ925" s="3" t="s">
        <v>75</v>
      </c>
      <c r="BC925" s="3" t="s">
        <v>10303</v>
      </c>
      <c r="BD925" s="3" t="s">
        <v>10304</v>
      </c>
    </row>
    <row r="926" spans="1:56" ht="44.25" customHeight="1" x14ac:dyDescent="0.25">
      <c r="A926" s="7" t="s">
        <v>61</v>
      </c>
      <c r="B926" s="2" t="s">
        <v>10305</v>
      </c>
      <c r="C926" s="2" t="s">
        <v>10306</v>
      </c>
      <c r="D926" s="2" t="s">
        <v>10307</v>
      </c>
      <c r="F926" s="3" t="s">
        <v>61</v>
      </c>
      <c r="G926" s="3" t="s">
        <v>60</v>
      </c>
      <c r="H926" s="3" t="s">
        <v>61</v>
      </c>
      <c r="I926" s="3" t="s">
        <v>61</v>
      </c>
      <c r="J926" s="3" t="s">
        <v>62</v>
      </c>
      <c r="K926" s="2" t="s">
        <v>10308</v>
      </c>
      <c r="L926" s="2" t="s">
        <v>10309</v>
      </c>
      <c r="M926" s="3" t="s">
        <v>884</v>
      </c>
      <c r="O926" s="3" t="s">
        <v>114</v>
      </c>
      <c r="P926" s="3" t="s">
        <v>2553</v>
      </c>
      <c r="R926" s="3" t="s">
        <v>68</v>
      </c>
      <c r="S926" s="4">
        <v>15</v>
      </c>
      <c r="T926" s="4">
        <v>15</v>
      </c>
      <c r="U926" s="5" t="s">
        <v>9356</v>
      </c>
      <c r="V926" s="5" t="s">
        <v>9356</v>
      </c>
      <c r="W926" s="5" t="s">
        <v>10310</v>
      </c>
      <c r="X926" s="5" t="s">
        <v>10310</v>
      </c>
      <c r="Y926" s="4">
        <v>632</v>
      </c>
      <c r="Z926" s="4">
        <v>605</v>
      </c>
      <c r="AA926" s="4">
        <v>617</v>
      </c>
      <c r="AB926" s="4">
        <v>10</v>
      </c>
      <c r="AC926" s="4">
        <v>10</v>
      </c>
      <c r="AD926" s="4">
        <v>26</v>
      </c>
      <c r="AE926" s="4">
        <v>26</v>
      </c>
      <c r="AF926" s="4">
        <v>8</v>
      </c>
      <c r="AG926" s="4">
        <v>8</v>
      </c>
      <c r="AH926" s="4">
        <v>6</v>
      </c>
      <c r="AI926" s="4">
        <v>6</v>
      </c>
      <c r="AJ926" s="4">
        <v>7</v>
      </c>
      <c r="AK926" s="4">
        <v>7</v>
      </c>
      <c r="AL926" s="4">
        <v>9</v>
      </c>
      <c r="AM926" s="4">
        <v>9</v>
      </c>
      <c r="AN926" s="4">
        <v>0</v>
      </c>
      <c r="AO926" s="4">
        <v>0</v>
      </c>
      <c r="AP926" s="3" t="s">
        <v>61</v>
      </c>
      <c r="AQ926" s="3" t="s">
        <v>59</v>
      </c>
      <c r="AR926" s="6" t="str">
        <f>HYPERLINK("http://catalog.hathitrust.org/Record/000593492","HathiTrust Record")</f>
        <v>HathiTrust Record</v>
      </c>
      <c r="AS926" s="6" t="str">
        <f>HYPERLINK("https://creighton-primo.hosted.exlibrisgroup.com/primo-explore/search?tab=default_tab&amp;search_scope=EVERYTHING&amp;vid=01CRU&amp;lang=en_US&amp;offset=0&amp;query=any,contains,991000625019702656","Catalog Record")</f>
        <v>Catalog Record</v>
      </c>
      <c r="AT926" s="6" t="str">
        <f>HYPERLINK("http://www.worldcat.org/oclc/103933","WorldCat Record")</f>
        <v>WorldCat Record</v>
      </c>
      <c r="AU926" s="3" t="s">
        <v>10311</v>
      </c>
      <c r="AV926" s="3" t="s">
        <v>10312</v>
      </c>
      <c r="AW926" s="3" t="s">
        <v>10313</v>
      </c>
      <c r="AX926" s="3" t="s">
        <v>10313</v>
      </c>
      <c r="AY926" s="3" t="s">
        <v>10314</v>
      </c>
      <c r="AZ926" s="3" t="s">
        <v>75</v>
      </c>
      <c r="BB926" s="3" t="s">
        <v>10315</v>
      </c>
      <c r="BC926" s="3" t="s">
        <v>10316</v>
      </c>
      <c r="BD926" s="3" t="s">
        <v>10317</v>
      </c>
    </row>
    <row r="927" spans="1:56" ht="44.25" customHeight="1" x14ac:dyDescent="0.25">
      <c r="A927" s="7" t="s">
        <v>61</v>
      </c>
      <c r="B927" s="2" t="s">
        <v>10318</v>
      </c>
      <c r="C927" s="2" t="s">
        <v>10319</v>
      </c>
      <c r="D927" s="2" t="s">
        <v>10320</v>
      </c>
      <c r="F927" s="3" t="s">
        <v>61</v>
      </c>
      <c r="G927" s="3" t="s">
        <v>60</v>
      </c>
      <c r="H927" s="3" t="s">
        <v>61</v>
      </c>
      <c r="I927" s="3" t="s">
        <v>61</v>
      </c>
      <c r="J927" s="3" t="s">
        <v>62</v>
      </c>
      <c r="K927" s="2" t="s">
        <v>9381</v>
      </c>
      <c r="L927" s="2" t="s">
        <v>10321</v>
      </c>
      <c r="M927" s="3" t="s">
        <v>407</v>
      </c>
      <c r="O927" s="3" t="s">
        <v>114</v>
      </c>
      <c r="P927" s="3" t="s">
        <v>619</v>
      </c>
      <c r="R927" s="3" t="s">
        <v>68</v>
      </c>
      <c r="S927" s="4">
        <v>7</v>
      </c>
      <c r="T927" s="4">
        <v>7</v>
      </c>
      <c r="U927" s="5" t="s">
        <v>409</v>
      </c>
      <c r="V927" s="5" t="s">
        <v>409</v>
      </c>
      <c r="W927" s="5" t="s">
        <v>10322</v>
      </c>
      <c r="X927" s="5" t="s">
        <v>10322</v>
      </c>
      <c r="Y927" s="4">
        <v>824</v>
      </c>
      <c r="Z927" s="4">
        <v>745</v>
      </c>
      <c r="AA927" s="4">
        <v>806</v>
      </c>
      <c r="AB927" s="4">
        <v>8</v>
      </c>
      <c r="AC927" s="4">
        <v>9</v>
      </c>
      <c r="AD927" s="4">
        <v>17</v>
      </c>
      <c r="AE927" s="4">
        <v>19</v>
      </c>
      <c r="AF927" s="4">
        <v>5</v>
      </c>
      <c r="AG927" s="4">
        <v>5</v>
      </c>
      <c r="AH927" s="4">
        <v>5</v>
      </c>
      <c r="AI927" s="4">
        <v>5</v>
      </c>
      <c r="AJ927" s="4">
        <v>11</v>
      </c>
      <c r="AK927" s="4">
        <v>12</v>
      </c>
      <c r="AL927" s="4">
        <v>2</v>
      </c>
      <c r="AM927" s="4">
        <v>3</v>
      </c>
      <c r="AN927" s="4">
        <v>0</v>
      </c>
      <c r="AO927" s="4">
        <v>0</v>
      </c>
      <c r="AP927" s="3" t="s">
        <v>61</v>
      </c>
      <c r="AQ927" s="3" t="s">
        <v>59</v>
      </c>
      <c r="AR927" s="6" t="str">
        <f>HYPERLINK("http://catalog.hathitrust.org/Record/003004000","HathiTrust Record")</f>
        <v>HathiTrust Record</v>
      </c>
      <c r="AS927" s="6" t="str">
        <f>HYPERLINK("https://creighton-primo.hosted.exlibrisgroup.com/primo-explore/search?tab=default_tab&amp;search_scope=EVERYTHING&amp;vid=01CRU&amp;lang=en_US&amp;offset=0&amp;query=any,contains,991002450919702656","Catalog Record")</f>
        <v>Catalog Record</v>
      </c>
      <c r="AT927" s="6" t="str">
        <f>HYPERLINK("http://www.worldcat.org/oclc/31969557","WorldCat Record")</f>
        <v>WorldCat Record</v>
      </c>
      <c r="AU927" s="3" t="s">
        <v>10323</v>
      </c>
      <c r="AV927" s="3" t="s">
        <v>10324</v>
      </c>
      <c r="AW927" s="3" t="s">
        <v>10325</v>
      </c>
      <c r="AX927" s="3" t="s">
        <v>10325</v>
      </c>
      <c r="AY927" s="3" t="s">
        <v>10326</v>
      </c>
      <c r="AZ927" s="3" t="s">
        <v>75</v>
      </c>
      <c r="BB927" s="3" t="s">
        <v>10327</v>
      </c>
      <c r="BC927" s="3" t="s">
        <v>10328</v>
      </c>
      <c r="BD927" s="3" t="s">
        <v>10329</v>
      </c>
    </row>
    <row r="928" spans="1:56" ht="44.25" customHeight="1" x14ac:dyDescent="0.25">
      <c r="A928" s="7" t="s">
        <v>61</v>
      </c>
      <c r="B928" s="2" t="s">
        <v>10330</v>
      </c>
      <c r="C928" s="2" t="s">
        <v>10331</v>
      </c>
      <c r="D928" s="2" t="s">
        <v>10332</v>
      </c>
      <c r="F928" s="3" t="s">
        <v>61</v>
      </c>
      <c r="G928" s="3" t="s">
        <v>60</v>
      </c>
      <c r="H928" s="3" t="s">
        <v>61</v>
      </c>
      <c r="I928" s="3" t="s">
        <v>61</v>
      </c>
      <c r="J928" s="3" t="s">
        <v>62</v>
      </c>
      <c r="K928" s="2" t="s">
        <v>10333</v>
      </c>
      <c r="L928" s="2" t="s">
        <v>10334</v>
      </c>
      <c r="M928" s="3" t="s">
        <v>884</v>
      </c>
      <c r="O928" s="3" t="s">
        <v>114</v>
      </c>
      <c r="P928" s="3" t="s">
        <v>67</v>
      </c>
      <c r="Q928" s="2" t="s">
        <v>10335</v>
      </c>
      <c r="R928" s="3" t="s">
        <v>68</v>
      </c>
      <c r="S928" s="4">
        <v>18</v>
      </c>
      <c r="T928" s="4">
        <v>18</v>
      </c>
      <c r="U928" s="5" t="s">
        <v>10298</v>
      </c>
      <c r="V928" s="5" t="s">
        <v>10298</v>
      </c>
      <c r="W928" s="5" t="s">
        <v>10114</v>
      </c>
      <c r="X928" s="5" t="s">
        <v>10114</v>
      </c>
      <c r="Y928" s="4">
        <v>107</v>
      </c>
      <c r="Z928" s="4">
        <v>92</v>
      </c>
      <c r="AA928" s="4">
        <v>92</v>
      </c>
      <c r="AB928" s="4">
        <v>3</v>
      </c>
      <c r="AC928" s="4">
        <v>3</v>
      </c>
      <c r="AD928" s="4">
        <v>7</v>
      </c>
      <c r="AE928" s="4">
        <v>7</v>
      </c>
      <c r="AF928" s="4">
        <v>1</v>
      </c>
      <c r="AG928" s="4">
        <v>1</v>
      </c>
      <c r="AH928" s="4">
        <v>2</v>
      </c>
      <c r="AI928" s="4">
        <v>2</v>
      </c>
      <c r="AJ928" s="4">
        <v>4</v>
      </c>
      <c r="AK928" s="4">
        <v>4</v>
      </c>
      <c r="AL928" s="4">
        <v>2</v>
      </c>
      <c r="AM928" s="4">
        <v>2</v>
      </c>
      <c r="AN928" s="4">
        <v>0</v>
      </c>
      <c r="AO928" s="4">
        <v>0</v>
      </c>
      <c r="AP928" s="3" t="s">
        <v>61</v>
      </c>
      <c r="AQ928" s="3" t="s">
        <v>61</v>
      </c>
      <c r="AS928" s="6" t="str">
        <f>HYPERLINK("https://creighton-primo.hosted.exlibrisgroup.com/primo-explore/search?tab=default_tab&amp;search_scope=EVERYTHING&amp;vid=01CRU&amp;lang=en_US&amp;offset=0&amp;query=any,contains,991003849139702656","Catalog Record")</f>
        <v>Catalog Record</v>
      </c>
      <c r="AT928" s="6" t="str">
        <f>HYPERLINK("http://www.worldcat.org/oclc/1636825","WorldCat Record")</f>
        <v>WorldCat Record</v>
      </c>
      <c r="AU928" s="3" t="s">
        <v>10336</v>
      </c>
      <c r="AV928" s="3" t="s">
        <v>10337</v>
      </c>
      <c r="AW928" s="3" t="s">
        <v>10338</v>
      </c>
      <c r="AX928" s="3" t="s">
        <v>10338</v>
      </c>
      <c r="AY928" s="3" t="s">
        <v>10339</v>
      </c>
      <c r="AZ928" s="3" t="s">
        <v>75</v>
      </c>
      <c r="BB928" s="3" t="s">
        <v>10340</v>
      </c>
      <c r="BC928" s="3" t="s">
        <v>10341</v>
      </c>
      <c r="BD928" s="3" t="s">
        <v>10342</v>
      </c>
    </row>
    <row r="929" spans="1:56" ht="44.25" customHeight="1" x14ac:dyDescent="0.25">
      <c r="A929" s="7" t="s">
        <v>61</v>
      </c>
      <c r="B929" s="2" t="s">
        <v>10343</v>
      </c>
      <c r="C929" s="2" t="s">
        <v>10344</v>
      </c>
      <c r="D929" s="2" t="s">
        <v>10345</v>
      </c>
      <c r="F929" s="3" t="s">
        <v>61</v>
      </c>
      <c r="G929" s="3" t="s">
        <v>60</v>
      </c>
      <c r="H929" s="3" t="s">
        <v>61</v>
      </c>
      <c r="I929" s="3" t="s">
        <v>61</v>
      </c>
      <c r="J929" s="3" t="s">
        <v>62</v>
      </c>
      <c r="K929" s="2" t="s">
        <v>10346</v>
      </c>
      <c r="L929" s="2" t="s">
        <v>10347</v>
      </c>
      <c r="M929" s="3" t="s">
        <v>1074</v>
      </c>
      <c r="N929" s="2" t="s">
        <v>634</v>
      </c>
      <c r="O929" s="3" t="s">
        <v>114</v>
      </c>
      <c r="P929" s="3" t="s">
        <v>10348</v>
      </c>
      <c r="R929" s="3" t="s">
        <v>68</v>
      </c>
      <c r="S929" s="4">
        <v>12</v>
      </c>
      <c r="T929" s="4">
        <v>12</v>
      </c>
      <c r="U929" s="5" t="s">
        <v>10349</v>
      </c>
      <c r="V929" s="5" t="s">
        <v>10349</v>
      </c>
      <c r="W929" s="5" t="s">
        <v>10350</v>
      </c>
      <c r="X929" s="5" t="s">
        <v>10350</v>
      </c>
      <c r="Y929" s="4">
        <v>941</v>
      </c>
      <c r="Z929" s="4">
        <v>849</v>
      </c>
      <c r="AA929" s="4">
        <v>967</v>
      </c>
      <c r="AB929" s="4">
        <v>4</v>
      </c>
      <c r="AC929" s="4">
        <v>7</v>
      </c>
      <c r="AD929" s="4">
        <v>15</v>
      </c>
      <c r="AE929" s="4">
        <v>19</v>
      </c>
      <c r="AF929" s="4">
        <v>8</v>
      </c>
      <c r="AG929" s="4">
        <v>9</v>
      </c>
      <c r="AH929" s="4">
        <v>6</v>
      </c>
      <c r="AI929" s="4">
        <v>6</v>
      </c>
      <c r="AJ929" s="4">
        <v>6</v>
      </c>
      <c r="AK929" s="4">
        <v>7</v>
      </c>
      <c r="AL929" s="4">
        <v>0</v>
      </c>
      <c r="AM929" s="4">
        <v>3</v>
      </c>
      <c r="AN929" s="4">
        <v>0</v>
      </c>
      <c r="AO929" s="4">
        <v>0</v>
      </c>
      <c r="AP929" s="3" t="s">
        <v>61</v>
      </c>
      <c r="AQ929" s="3" t="s">
        <v>59</v>
      </c>
      <c r="AR929" s="6" t="str">
        <f>HYPERLINK("http://catalog.hathitrust.org/Record/000352993","HathiTrust Record")</f>
        <v>HathiTrust Record</v>
      </c>
      <c r="AS929" s="6" t="str">
        <f>HYPERLINK("https://creighton-primo.hosted.exlibrisgroup.com/primo-explore/search?tab=default_tab&amp;search_scope=EVERYTHING&amp;vid=01CRU&amp;lang=en_US&amp;offset=0&amp;query=any,contains,991000531879702656","Catalog Record")</f>
        <v>Catalog Record</v>
      </c>
      <c r="AT929" s="6" t="str">
        <f>HYPERLINK("http://www.worldcat.org/oclc/11399915","WorldCat Record")</f>
        <v>WorldCat Record</v>
      </c>
      <c r="AU929" s="3" t="s">
        <v>10351</v>
      </c>
      <c r="AV929" s="3" t="s">
        <v>10352</v>
      </c>
      <c r="AW929" s="3" t="s">
        <v>10353</v>
      </c>
      <c r="AX929" s="3" t="s">
        <v>10353</v>
      </c>
      <c r="AY929" s="3" t="s">
        <v>10354</v>
      </c>
      <c r="AZ929" s="3" t="s">
        <v>75</v>
      </c>
      <c r="BB929" s="3" t="s">
        <v>10355</v>
      </c>
      <c r="BC929" s="3" t="s">
        <v>10356</v>
      </c>
      <c r="BD929" s="3" t="s">
        <v>10357</v>
      </c>
    </row>
    <row r="930" spans="1:56" ht="44.25" customHeight="1" x14ac:dyDescent="0.25">
      <c r="A930" s="7" t="s">
        <v>61</v>
      </c>
      <c r="B930" s="2" t="s">
        <v>10358</v>
      </c>
      <c r="C930" s="2" t="s">
        <v>10359</v>
      </c>
      <c r="D930" s="2" t="s">
        <v>10360</v>
      </c>
      <c r="F930" s="3" t="s">
        <v>61</v>
      </c>
      <c r="G930" s="3" t="s">
        <v>60</v>
      </c>
      <c r="H930" s="3" t="s">
        <v>61</v>
      </c>
      <c r="I930" s="3" t="s">
        <v>61</v>
      </c>
      <c r="J930" s="3" t="s">
        <v>62</v>
      </c>
      <c r="K930" s="2" t="s">
        <v>10361</v>
      </c>
      <c r="L930" s="2" t="s">
        <v>10362</v>
      </c>
      <c r="M930" s="3" t="s">
        <v>784</v>
      </c>
      <c r="O930" s="3" t="s">
        <v>114</v>
      </c>
      <c r="P930" s="3" t="s">
        <v>235</v>
      </c>
      <c r="R930" s="3" t="s">
        <v>68</v>
      </c>
      <c r="S930" s="4">
        <v>5</v>
      </c>
      <c r="T930" s="4">
        <v>5</v>
      </c>
      <c r="U930" s="5" t="s">
        <v>10363</v>
      </c>
      <c r="V930" s="5" t="s">
        <v>10363</v>
      </c>
      <c r="W930" s="5" t="s">
        <v>1172</v>
      </c>
      <c r="X930" s="5" t="s">
        <v>1172</v>
      </c>
      <c r="Y930" s="4">
        <v>1413</v>
      </c>
      <c r="Z930" s="4">
        <v>1348</v>
      </c>
      <c r="AA930" s="4">
        <v>2072</v>
      </c>
      <c r="AB930" s="4">
        <v>8</v>
      </c>
      <c r="AC930" s="4">
        <v>13</v>
      </c>
      <c r="AD930" s="4">
        <v>42</v>
      </c>
      <c r="AE930" s="4">
        <v>63</v>
      </c>
      <c r="AF930" s="4">
        <v>18</v>
      </c>
      <c r="AG930" s="4">
        <v>27</v>
      </c>
      <c r="AH930" s="4">
        <v>7</v>
      </c>
      <c r="AI930" s="4">
        <v>11</v>
      </c>
      <c r="AJ930" s="4">
        <v>20</v>
      </c>
      <c r="AK930" s="4">
        <v>27</v>
      </c>
      <c r="AL930" s="4">
        <v>7</v>
      </c>
      <c r="AM930" s="4">
        <v>11</v>
      </c>
      <c r="AN930" s="4">
        <v>0</v>
      </c>
      <c r="AO930" s="4">
        <v>1</v>
      </c>
      <c r="AP930" s="3" t="s">
        <v>61</v>
      </c>
      <c r="AQ930" s="3" t="s">
        <v>59</v>
      </c>
      <c r="AR930" s="6" t="str">
        <f>HYPERLINK("http://catalog.hathitrust.org/Record/000147821","HathiTrust Record")</f>
        <v>HathiTrust Record</v>
      </c>
      <c r="AS930" s="6" t="str">
        <f>HYPERLINK("https://creighton-primo.hosted.exlibrisgroup.com/primo-explore/search?tab=default_tab&amp;search_scope=EVERYTHING&amp;vid=01CRU&amp;lang=en_US&amp;offset=0&amp;query=any,contains,991001057499702656","Catalog Record")</f>
        <v>Catalog Record</v>
      </c>
      <c r="AT930" s="6" t="str">
        <f>HYPERLINK("http://www.worldcat.org/oclc/177623","WorldCat Record")</f>
        <v>WorldCat Record</v>
      </c>
      <c r="AU930" s="3" t="s">
        <v>10364</v>
      </c>
      <c r="AV930" s="3" t="s">
        <v>10365</v>
      </c>
      <c r="AW930" s="3" t="s">
        <v>10366</v>
      </c>
      <c r="AX930" s="3" t="s">
        <v>10366</v>
      </c>
      <c r="AY930" s="3" t="s">
        <v>10367</v>
      </c>
      <c r="AZ930" s="3" t="s">
        <v>75</v>
      </c>
      <c r="BC930" s="3" t="s">
        <v>10368</v>
      </c>
      <c r="BD930" s="3" t="s">
        <v>10369</v>
      </c>
    </row>
    <row r="931" spans="1:56" ht="44.25" customHeight="1" x14ac:dyDescent="0.25">
      <c r="A931" s="7" t="s">
        <v>61</v>
      </c>
      <c r="B931" s="2" t="s">
        <v>10370</v>
      </c>
      <c r="C931" s="2" t="s">
        <v>10371</v>
      </c>
      <c r="D931" s="2" t="s">
        <v>10372</v>
      </c>
      <c r="F931" s="3" t="s">
        <v>61</v>
      </c>
      <c r="G931" s="3" t="s">
        <v>60</v>
      </c>
      <c r="H931" s="3" t="s">
        <v>61</v>
      </c>
      <c r="I931" s="3" t="s">
        <v>61</v>
      </c>
      <c r="J931" s="3" t="s">
        <v>62</v>
      </c>
      <c r="K931" s="2" t="s">
        <v>10373</v>
      </c>
      <c r="L931" s="2" t="s">
        <v>10374</v>
      </c>
      <c r="M931" s="3" t="s">
        <v>1376</v>
      </c>
      <c r="O931" s="3" t="s">
        <v>114</v>
      </c>
      <c r="P931" s="3" t="s">
        <v>235</v>
      </c>
      <c r="Q931" s="2" t="s">
        <v>10375</v>
      </c>
      <c r="R931" s="3" t="s">
        <v>68</v>
      </c>
      <c r="S931" s="4">
        <v>3</v>
      </c>
      <c r="T931" s="4">
        <v>3</v>
      </c>
      <c r="U931" s="5" t="s">
        <v>10376</v>
      </c>
      <c r="V931" s="5" t="s">
        <v>10376</v>
      </c>
      <c r="W931" s="5" t="s">
        <v>7960</v>
      </c>
      <c r="X931" s="5" t="s">
        <v>7960</v>
      </c>
      <c r="Y931" s="4">
        <v>644</v>
      </c>
      <c r="Z931" s="4">
        <v>598</v>
      </c>
      <c r="AA931" s="4">
        <v>630</v>
      </c>
      <c r="AB931" s="4">
        <v>4</v>
      </c>
      <c r="AC931" s="4">
        <v>4</v>
      </c>
      <c r="AD931" s="4">
        <v>10</v>
      </c>
      <c r="AE931" s="4">
        <v>12</v>
      </c>
      <c r="AF931" s="4">
        <v>1</v>
      </c>
      <c r="AG931" s="4">
        <v>2</v>
      </c>
      <c r="AH931" s="4">
        <v>3</v>
      </c>
      <c r="AI931" s="4">
        <v>4</v>
      </c>
      <c r="AJ931" s="4">
        <v>6</v>
      </c>
      <c r="AK931" s="4">
        <v>6</v>
      </c>
      <c r="AL931" s="4">
        <v>2</v>
      </c>
      <c r="AM931" s="4">
        <v>2</v>
      </c>
      <c r="AN931" s="4">
        <v>0</v>
      </c>
      <c r="AO931" s="4">
        <v>0</v>
      </c>
      <c r="AP931" s="3" t="s">
        <v>61</v>
      </c>
      <c r="AQ931" s="3" t="s">
        <v>59</v>
      </c>
      <c r="AR931" s="6" t="str">
        <f>HYPERLINK("http://catalog.hathitrust.org/Record/000805035","HathiTrust Record")</f>
        <v>HathiTrust Record</v>
      </c>
      <c r="AS931" s="6" t="str">
        <f>HYPERLINK("https://creighton-primo.hosted.exlibrisgroup.com/primo-explore/search?tab=default_tab&amp;search_scope=EVERYTHING&amp;vid=01CRU&amp;lang=en_US&amp;offset=0&amp;query=any,contains,991002675679702656","Catalog Record")</f>
        <v>Catalog Record</v>
      </c>
      <c r="AT931" s="6" t="str">
        <f>HYPERLINK("http://www.worldcat.org/oclc/396916","WorldCat Record")</f>
        <v>WorldCat Record</v>
      </c>
      <c r="AU931" s="3" t="s">
        <v>10377</v>
      </c>
      <c r="AV931" s="3" t="s">
        <v>10378</v>
      </c>
      <c r="AW931" s="3" t="s">
        <v>10379</v>
      </c>
      <c r="AX931" s="3" t="s">
        <v>10379</v>
      </c>
      <c r="AY931" s="3" t="s">
        <v>10380</v>
      </c>
      <c r="AZ931" s="3" t="s">
        <v>75</v>
      </c>
      <c r="BC931" s="3" t="s">
        <v>10381</v>
      </c>
      <c r="BD931" s="3" t="s">
        <v>10382</v>
      </c>
    </row>
    <row r="932" spans="1:56" ht="44.25" customHeight="1" x14ac:dyDescent="0.25">
      <c r="A932" s="7" t="s">
        <v>61</v>
      </c>
      <c r="B932" s="2" t="s">
        <v>10383</v>
      </c>
      <c r="C932" s="2" t="s">
        <v>10384</v>
      </c>
      <c r="D932" s="2" t="s">
        <v>10385</v>
      </c>
      <c r="F932" s="3" t="s">
        <v>61</v>
      </c>
      <c r="G932" s="3" t="s">
        <v>60</v>
      </c>
      <c r="H932" s="3" t="s">
        <v>61</v>
      </c>
      <c r="I932" s="3" t="s">
        <v>61</v>
      </c>
      <c r="J932" s="3" t="s">
        <v>62</v>
      </c>
      <c r="K932" s="2" t="s">
        <v>10386</v>
      </c>
      <c r="L932" s="2" t="s">
        <v>10387</v>
      </c>
      <c r="M932" s="3" t="s">
        <v>205</v>
      </c>
      <c r="N932" s="2" t="s">
        <v>634</v>
      </c>
      <c r="O932" s="3" t="s">
        <v>114</v>
      </c>
      <c r="P932" s="3" t="s">
        <v>10348</v>
      </c>
      <c r="R932" s="3" t="s">
        <v>68</v>
      </c>
      <c r="S932" s="4">
        <v>5</v>
      </c>
      <c r="T932" s="4">
        <v>5</v>
      </c>
      <c r="U932" s="5" t="s">
        <v>9974</v>
      </c>
      <c r="V932" s="5" t="s">
        <v>9974</v>
      </c>
      <c r="W932" s="5" t="s">
        <v>10350</v>
      </c>
      <c r="X932" s="5" t="s">
        <v>10350</v>
      </c>
      <c r="Y932" s="4">
        <v>899</v>
      </c>
      <c r="Z932" s="4">
        <v>800</v>
      </c>
      <c r="AA932" s="4">
        <v>836</v>
      </c>
      <c r="AB932" s="4">
        <v>5</v>
      </c>
      <c r="AC932" s="4">
        <v>5</v>
      </c>
      <c r="AD932" s="4">
        <v>27</v>
      </c>
      <c r="AE932" s="4">
        <v>27</v>
      </c>
      <c r="AF932" s="4">
        <v>9</v>
      </c>
      <c r="AG932" s="4">
        <v>9</v>
      </c>
      <c r="AH932" s="4">
        <v>7</v>
      </c>
      <c r="AI932" s="4">
        <v>7</v>
      </c>
      <c r="AJ932" s="4">
        <v>18</v>
      </c>
      <c r="AK932" s="4">
        <v>18</v>
      </c>
      <c r="AL932" s="4">
        <v>2</v>
      </c>
      <c r="AM932" s="4">
        <v>2</v>
      </c>
      <c r="AN932" s="4">
        <v>0</v>
      </c>
      <c r="AO932" s="4">
        <v>0</v>
      </c>
      <c r="AP932" s="3" t="s">
        <v>61</v>
      </c>
      <c r="AQ932" s="3" t="s">
        <v>59</v>
      </c>
      <c r="AR932" s="6" t="str">
        <f>HYPERLINK("http://catalog.hathitrust.org/Record/000373836","HathiTrust Record")</f>
        <v>HathiTrust Record</v>
      </c>
      <c r="AS932" s="6" t="str">
        <f>HYPERLINK("https://creighton-primo.hosted.exlibrisgroup.com/primo-explore/search?tab=default_tab&amp;search_scope=EVERYTHING&amp;vid=01CRU&amp;lang=en_US&amp;offset=0&amp;query=any,contains,991000504369702656","Catalog Record")</f>
        <v>Catalog Record</v>
      </c>
      <c r="AT932" s="6" t="str">
        <f>HYPERLINK("http://www.worldcat.org/oclc/11200340","WorldCat Record")</f>
        <v>WorldCat Record</v>
      </c>
      <c r="AU932" s="3" t="s">
        <v>10388</v>
      </c>
      <c r="AV932" s="3" t="s">
        <v>10389</v>
      </c>
      <c r="AW932" s="3" t="s">
        <v>10390</v>
      </c>
      <c r="AX932" s="3" t="s">
        <v>10390</v>
      </c>
      <c r="AY932" s="3" t="s">
        <v>10391</v>
      </c>
      <c r="AZ932" s="3" t="s">
        <v>75</v>
      </c>
      <c r="BB932" s="3" t="s">
        <v>10392</v>
      </c>
      <c r="BC932" s="3" t="s">
        <v>10393</v>
      </c>
      <c r="BD932" s="3" t="s">
        <v>10394</v>
      </c>
    </row>
    <row r="933" spans="1:56" ht="44.25" customHeight="1" x14ac:dyDescent="0.25">
      <c r="A933" s="7" t="s">
        <v>61</v>
      </c>
      <c r="B933" s="2" t="s">
        <v>10395</v>
      </c>
      <c r="C933" s="2" t="s">
        <v>10396</v>
      </c>
      <c r="D933" s="2" t="s">
        <v>10397</v>
      </c>
      <c r="F933" s="3" t="s">
        <v>61</v>
      </c>
      <c r="G933" s="3" t="s">
        <v>60</v>
      </c>
      <c r="H933" s="3" t="s">
        <v>61</v>
      </c>
      <c r="I933" s="3" t="s">
        <v>61</v>
      </c>
      <c r="J933" s="3" t="s">
        <v>62</v>
      </c>
      <c r="K933" s="2" t="s">
        <v>10398</v>
      </c>
      <c r="L933" s="2" t="s">
        <v>10399</v>
      </c>
      <c r="M933" s="3" t="s">
        <v>3279</v>
      </c>
      <c r="O933" s="3" t="s">
        <v>114</v>
      </c>
      <c r="P933" s="3" t="s">
        <v>364</v>
      </c>
      <c r="R933" s="3" t="s">
        <v>68</v>
      </c>
      <c r="S933" s="4">
        <v>2</v>
      </c>
      <c r="T933" s="4">
        <v>2</v>
      </c>
      <c r="U933" s="5" t="s">
        <v>10400</v>
      </c>
      <c r="V933" s="5" t="s">
        <v>10400</v>
      </c>
      <c r="W933" s="5" t="s">
        <v>10401</v>
      </c>
      <c r="X933" s="5" t="s">
        <v>10401</v>
      </c>
      <c r="Y933" s="4">
        <v>732</v>
      </c>
      <c r="Z933" s="4">
        <v>648</v>
      </c>
      <c r="AA933" s="4">
        <v>701</v>
      </c>
      <c r="AB933" s="4">
        <v>7</v>
      </c>
      <c r="AC933" s="4">
        <v>7</v>
      </c>
      <c r="AD933" s="4">
        <v>28</v>
      </c>
      <c r="AE933" s="4">
        <v>30</v>
      </c>
      <c r="AF933" s="4">
        <v>9</v>
      </c>
      <c r="AG933" s="4">
        <v>11</v>
      </c>
      <c r="AH933" s="4">
        <v>8</v>
      </c>
      <c r="AI933" s="4">
        <v>8</v>
      </c>
      <c r="AJ933" s="4">
        <v>13</v>
      </c>
      <c r="AK933" s="4">
        <v>14</v>
      </c>
      <c r="AL933" s="4">
        <v>5</v>
      </c>
      <c r="AM933" s="4">
        <v>5</v>
      </c>
      <c r="AN933" s="4">
        <v>0</v>
      </c>
      <c r="AO933" s="4">
        <v>0</v>
      </c>
      <c r="AP933" s="3" t="s">
        <v>61</v>
      </c>
      <c r="AQ933" s="3" t="s">
        <v>61</v>
      </c>
      <c r="AS933" s="6" t="str">
        <f>HYPERLINK("https://creighton-primo.hosted.exlibrisgroup.com/primo-explore/search?tab=default_tab&amp;search_scope=EVERYTHING&amp;vid=01CRU&amp;lang=en_US&amp;offset=0&amp;query=any,contains,991002295199702656","Catalog Record")</f>
        <v>Catalog Record</v>
      </c>
      <c r="AT933" s="6" t="str">
        <f>HYPERLINK("http://www.worldcat.org/oclc/315143","WorldCat Record")</f>
        <v>WorldCat Record</v>
      </c>
      <c r="AU933" s="3" t="s">
        <v>10402</v>
      </c>
      <c r="AV933" s="3" t="s">
        <v>10403</v>
      </c>
      <c r="AW933" s="3" t="s">
        <v>10404</v>
      </c>
      <c r="AX933" s="3" t="s">
        <v>10404</v>
      </c>
      <c r="AY933" s="3" t="s">
        <v>10405</v>
      </c>
      <c r="AZ933" s="3" t="s">
        <v>75</v>
      </c>
      <c r="BB933" s="3" t="s">
        <v>10406</v>
      </c>
      <c r="BC933" s="3" t="s">
        <v>10407</v>
      </c>
      <c r="BD933" s="3" t="s">
        <v>10408</v>
      </c>
    </row>
    <row r="934" spans="1:56" ht="44.25" customHeight="1" x14ac:dyDescent="0.25">
      <c r="A934" s="7" t="s">
        <v>61</v>
      </c>
      <c r="B934" s="2" t="s">
        <v>10409</v>
      </c>
      <c r="C934" s="2" t="s">
        <v>10410</v>
      </c>
      <c r="D934" s="2" t="s">
        <v>10411</v>
      </c>
      <c r="F934" s="3" t="s">
        <v>61</v>
      </c>
      <c r="G934" s="3" t="s">
        <v>60</v>
      </c>
      <c r="H934" s="3" t="s">
        <v>61</v>
      </c>
      <c r="I934" s="3" t="s">
        <v>61</v>
      </c>
      <c r="J934" s="3" t="s">
        <v>62</v>
      </c>
      <c r="K934" s="2" t="s">
        <v>10412</v>
      </c>
      <c r="L934" s="2" t="s">
        <v>10413</v>
      </c>
      <c r="M934" s="3" t="s">
        <v>1507</v>
      </c>
      <c r="N934" s="2" t="s">
        <v>4257</v>
      </c>
      <c r="O934" s="3" t="s">
        <v>114</v>
      </c>
      <c r="P934" s="3" t="s">
        <v>7909</v>
      </c>
      <c r="R934" s="3" t="s">
        <v>68</v>
      </c>
      <c r="S934" s="4">
        <v>8</v>
      </c>
      <c r="T934" s="4">
        <v>8</v>
      </c>
      <c r="U934" s="5" t="s">
        <v>10414</v>
      </c>
      <c r="V934" s="5" t="s">
        <v>10414</v>
      </c>
      <c r="W934" s="5" t="s">
        <v>10401</v>
      </c>
      <c r="X934" s="5" t="s">
        <v>10401</v>
      </c>
      <c r="Y934" s="4">
        <v>637</v>
      </c>
      <c r="Z934" s="4">
        <v>583</v>
      </c>
      <c r="AA934" s="4">
        <v>586</v>
      </c>
      <c r="AB934" s="4">
        <v>2</v>
      </c>
      <c r="AC934" s="4">
        <v>2</v>
      </c>
      <c r="AD934" s="4">
        <v>20</v>
      </c>
      <c r="AE934" s="4">
        <v>20</v>
      </c>
      <c r="AF934" s="4">
        <v>11</v>
      </c>
      <c r="AG934" s="4">
        <v>11</v>
      </c>
      <c r="AH934" s="4">
        <v>5</v>
      </c>
      <c r="AI934" s="4">
        <v>5</v>
      </c>
      <c r="AJ934" s="4">
        <v>8</v>
      </c>
      <c r="AK934" s="4">
        <v>8</v>
      </c>
      <c r="AL934" s="4">
        <v>1</v>
      </c>
      <c r="AM934" s="4">
        <v>1</v>
      </c>
      <c r="AN934" s="4">
        <v>0</v>
      </c>
      <c r="AO934" s="4">
        <v>0</v>
      </c>
      <c r="AP934" s="3" t="s">
        <v>61</v>
      </c>
      <c r="AQ934" s="3" t="s">
        <v>59</v>
      </c>
      <c r="AR934" s="6" t="str">
        <f>HYPERLINK("http://catalog.hathitrust.org/Record/000493003","HathiTrust Record")</f>
        <v>HathiTrust Record</v>
      </c>
      <c r="AS934" s="6" t="str">
        <f>HYPERLINK("https://creighton-primo.hosted.exlibrisgroup.com/primo-explore/search?tab=default_tab&amp;search_scope=EVERYTHING&amp;vid=01CRU&amp;lang=en_US&amp;offset=0&amp;query=any,contains,991003385329702656","Catalog Record")</f>
        <v>Catalog Record</v>
      </c>
      <c r="AT934" s="6" t="str">
        <f>HYPERLINK("http://www.worldcat.org/oclc/922426","WorldCat Record")</f>
        <v>WorldCat Record</v>
      </c>
      <c r="AU934" s="3" t="s">
        <v>10415</v>
      </c>
      <c r="AV934" s="3" t="s">
        <v>10416</v>
      </c>
      <c r="AW934" s="3" t="s">
        <v>10417</v>
      </c>
      <c r="AX934" s="3" t="s">
        <v>10417</v>
      </c>
      <c r="AY934" s="3" t="s">
        <v>10418</v>
      </c>
      <c r="AZ934" s="3" t="s">
        <v>75</v>
      </c>
      <c r="BB934" s="3" t="s">
        <v>10419</v>
      </c>
      <c r="BC934" s="3" t="s">
        <v>10420</v>
      </c>
      <c r="BD934" s="3" t="s">
        <v>10421</v>
      </c>
    </row>
    <row r="935" spans="1:56" ht="44.25" customHeight="1" x14ac:dyDescent="0.25">
      <c r="A935" s="7" t="s">
        <v>61</v>
      </c>
      <c r="B935" s="2" t="s">
        <v>10422</v>
      </c>
      <c r="C935" s="2" t="s">
        <v>10423</v>
      </c>
      <c r="D935" s="2" t="s">
        <v>10424</v>
      </c>
      <c r="F935" s="3" t="s">
        <v>61</v>
      </c>
      <c r="G935" s="3" t="s">
        <v>60</v>
      </c>
      <c r="H935" s="3" t="s">
        <v>61</v>
      </c>
      <c r="I935" s="3" t="s">
        <v>61</v>
      </c>
      <c r="J935" s="3" t="s">
        <v>62</v>
      </c>
      <c r="K935" s="2" t="s">
        <v>10425</v>
      </c>
      <c r="L935" s="2" t="s">
        <v>10426</v>
      </c>
      <c r="M935" s="3" t="s">
        <v>350</v>
      </c>
      <c r="N935" s="2" t="s">
        <v>679</v>
      </c>
      <c r="O935" s="3" t="s">
        <v>114</v>
      </c>
      <c r="P935" s="3" t="s">
        <v>6440</v>
      </c>
      <c r="Q935" s="2" t="s">
        <v>9105</v>
      </c>
      <c r="R935" s="3" t="s">
        <v>68</v>
      </c>
      <c r="S935" s="4">
        <v>3</v>
      </c>
      <c r="T935" s="4">
        <v>3</v>
      </c>
      <c r="U935" s="5" t="s">
        <v>510</v>
      </c>
      <c r="V935" s="5" t="s">
        <v>510</v>
      </c>
      <c r="W935" s="5" t="s">
        <v>10175</v>
      </c>
      <c r="X935" s="5" t="s">
        <v>10175</v>
      </c>
      <c r="Y935" s="4">
        <v>262</v>
      </c>
      <c r="Z935" s="4">
        <v>238</v>
      </c>
      <c r="AA935" s="4">
        <v>296</v>
      </c>
      <c r="AB935" s="4">
        <v>2</v>
      </c>
      <c r="AC935" s="4">
        <v>3</v>
      </c>
      <c r="AD935" s="4">
        <v>9</v>
      </c>
      <c r="AE935" s="4">
        <v>10</v>
      </c>
      <c r="AF935" s="4">
        <v>3</v>
      </c>
      <c r="AG935" s="4">
        <v>3</v>
      </c>
      <c r="AH935" s="4">
        <v>2</v>
      </c>
      <c r="AI935" s="4">
        <v>2</v>
      </c>
      <c r="AJ935" s="4">
        <v>5</v>
      </c>
      <c r="AK935" s="4">
        <v>5</v>
      </c>
      <c r="AL935" s="4">
        <v>1</v>
      </c>
      <c r="AM935" s="4">
        <v>2</v>
      </c>
      <c r="AN935" s="4">
        <v>0</v>
      </c>
      <c r="AO935" s="4">
        <v>0</v>
      </c>
      <c r="AP935" s="3" t="s">
        <v>61</v>
      </c>
      <c r="AQ935" s="3" t="s">
        <v>59</v>
      </c>
      <c r="AR935" s="6" t="str">
        <f>HYPERLINK("http://catalog.hathitrust.org/Record/000032224","HathiTrust Record")</f>
        <v>HathiTrust Record</v>
      </c>
      <c r="AS935" s="6" t="str">
        <f>HYPERLINK("https://creighton-primo.hosted.exlibrisgroup.com/primo-explore/search?tab=default_tab&amp;search_scope=EVERYTHING&amp;vid=01CRU&amp;lang=en_US&amp;offset=0&amp;query=any,contains,991004932179702656","Catalog Record")</f>
        <v>Catalog Record</v>
      </c>
      <c r="AT935" s="6" t="str">
        <f>HYPERLINK("http://www.worldcat.org/oclc/6106001","WorldCat Record")</f>
        <v>WorldCat Record</v>
      </c>
      <c r="AU935" s="3" t="s">
        <v>10427</v>
      </c>
      <c r="AV935" s="3" t="s">
        <v>10428</v>
      </c>
      <c r="AW935" s="3" t="s">
        <v>10429</v>
      </c>
      <c r="AX935" s="3" t="s">
        <v>10429</v>
      </c>
      <c r="AY935" s="3" t="s">
        <v>10430</v>
      </c>
      <c r="AZ935" s="3" t="s">
        <v>75</v>
      </c>
      <c r="BB935" s="3" t="s">
        <v>10431</v>
      </c>
      <c r="BC935" s="3" t="s">
        <v>10432</v>
      </c>
      <c r="BD935" s="3" t="s">
        <v>10433</v>
      </c>
    </row>
    <row r="936" spans="1:56" ht="44.25" customHeight="1" x14ac:dyDescent="0.25">
      <c r="A936" s="7" t="s">
        <v>61</v>
      </c>
      <c r="B936" s="2" t="s">
        <v>10434</v>
      </c>
      <c r="C936" s="2" t="s">
        <v>10435</v>
      </c>
      <c r="D936" s="2" t="s">
        <v>10436</v>
      </c>
      <c r="F936" s="3" t="s">
        <v>61</v>
      </c>
      <c r="G936" s="3" t="s">
        <v>60</v>
      </c>
      <c r="H936" s="3" t="s">
        <v>61</v>
      </c>
      <c r="I936" s="3" t="s">
        <v>61</v>
      </c>
      <c r="J936" s="3" t="s">
        <v>62</v>
      </c>
      <c r="K936" s="2" t="s">
        <v>10437</v>
      </c>
      <c r="L936" s="2" t="s">
        <v>10438</v>
      </c>
      <c r="M936" s="3" t="s">
        <v>579</v>
      </c>
      <c r="O936" s="3" t="s">
        <v>114</v>
      </c>
      <c r="P936" s="3" t="s">
        <v>192</v>
      </c>
      <c r="R936" s="3" t="s">
        <v>68</v>
      </c>
      <c r="S936" s="4">
        <v>2</v>
      </c>
      <c r="T936" s="4">
        <v>2</v>
      </c>
      <c r="U936" s="5" t="s">
        <v>510</v>
      </c>
      <c r="V936" s="5" t="s">
        <v>510</v>
      </c>
      <c r="W936" s="5" t="s">
        <v>10114</v>
      </c>
      <c r="X936" s="5" t="s">
        <v>10114</v>
      </c>
      <c r="Y936" s="4">
        <v>144</v>
      </c>
      <c r="Z936" s="4">
        <v>61</v>
      </c>
      <c r="AA936" s="4">
        <v>62</v>
      </c>
      <c r="AB936" s="4">
        <v>3</v>
      </c>
      <c r="AC936" s="4">
        <v>3</v>
      </c>
      <c r="AD936" s="4">
        <v>3</v>
      </c>
      <c r="AE936" s="4">
        <v>3</v>
      </c>
      <c r="AF936" s="4">
        <v>0</v>
      </c>
      <c r="AG936" s="4">
        <v>0</v>
      </c>
      <c r="AH936" s="4">
        <v>1</v>
      </c>
      <c r="AI936" s="4">
        <v>1</v>
      </c>
      <c r="AJ936" s="4">
        <v>1</v>
      </c>
      <c r="AK936" s="4">
        <v>1</v>
      </c>
      <c r="AL936" s="4">
        <v>2</v>
      </c>
      <c r="AM936" s="4">
        <v>2</v>
      </c>
      <c r="AN936" s="4">
        <v>0</v>
      </c>
      <c r="AO936" s="4">
        <v>0</v>
      </c>
      <c r="AP936" s="3" t="s">
        <v>61</v>
      </c>
      <c r="AQ936" s="3" t="s">
        <v>61</v>
      </c>
      <c r="AS936" s="6" t="str">
        <f>HYPERLINK("https://creighton-primo.hosted.exlibrisgroup.com/primo-explore/search?tab=default_tab&amp;search_scope=EVERYTHING&amp;vid=01CRU&amp;lang=en_US&amp;offset=0&amp;query=any,contains,991000740599702656","Catalog Record")</f>
        <v>Catalog Record</v>
      </c>
      <c r="AT936" s="6" t="str">
        <f>HYPERLINK("http://www.worldcat.org/oclc/59769915","WorldCat Record")</f>
        <v>WorldCat Record</v>
      </c>
      <c r="AU936" s="3" t="s">
        <v>10439</v>
      </c>
      <c r="AV936" s="3" t="s">
        <v>10440</v>
      </c>
      <c r="AW936" s="3" t="s">
        <v>10441</v>
      </c>
      <c r="AX936" s="3" t="s">
        <v>10441</v>
      </c>
      <c r="AY936" s="3" t="s">
        <v>10442</v>
      </c>
      <c r="AZ936" s="3" t="s">
        <v>75</v>
      </c>
      <c r="BB936" s="3" t="s">
        <v>10443</v>
      </c>
      <c r="BC936" s="3" t="s">
        <v>10444</v>
      </c>
      <c r="BD936" s="3" t="s">
        <v>10445</v>
      </c>
    </row>
    <row r="937" spans="1:56" ht="44.25" customHeight="1" x14ac:dyDescent="0.25">
      <c r="A937" s="7" t="s">
        <v>61</v>
      </c>
      <c r="B937" s="2" t="s">
        <v>10446</v>
      </c>
      <c r="C937" s="2" t="s">
        <v>10447</v>
      </c>
      <c r="D937" s="2" t="s">
        <v>10448</v>
      </c>
      <c r="F937" s="3" t="s">
        <v>61</v>
      </c>
      <c r="G937" s="3" t="s">
        <v>60</v>
      </c>
      <c r="H937" s="3" t="s">
        <v>61</v>
      </c>
      <c r="I937" s="3" t="s">
        <v>61</v>
      </c>
      <c r="J937" s="3" t="s">
        <v>62</v>
      </c>
      <c r="K937" s="2" t="s">
        <v>10449</v>
      </c>
      <c r="L937" s="2" t="s">
        <v>10450</v>
      </c>
      <c r="M937" s="3" t="s">
        <v>4337</v>
      </c>
      <c r="N937" s="2" t="s">
        <v>306</v>
      </c>
      <c r="O937" s="3" t="s">
        <v>114</v>
      </c>
      <c r="P937" s="3" t="s">
        <v>235</v>
      </c>
      <c r="R937" s="3" t="s">
        <v>68</v>
      </c>
      <c r="S937" s="4">
        <v>1</v>
      </c>
      <c r="T937" s="4">
        <v>1</v>
      </c>
      <c r="U937" s="5" t="s">
        <v>510</v>
      </c>
      <c r="V937" s="5" t="s">
        <v>510</v>
      </c>
      <c r="W937" s="5" t="s">
        <v>10401</v>
      </c>
      <c r="X937" s="5" t="s">
        <v>10401</v>
      </c>
      <c r="Y937" s="4">
        <v>1071</v>
      </c>
      <c r="Z937" s="4">
        <v>1032</v>
      </c>
      <c r="AA937" s="4">
        <v>1122</v>
      </c>
      <c r="AB937" s="4">
        <v>4</v>
      </c>
      <c r="AC937" s="4">
        <v>5</v>
      </c>
      <c r="AD937" s="4">
        <v>25</v>
      </c>
      <c r="AE937" s="4">
        <v>25</v>
      </c>
      <c r="AF937" s="4">
        <v>12</v>
      </c>
      <c r="AG937" s="4">
        <v>12</v>
      </c>
      <c r="AH937" s="4">
        <v>5</v>
      </c>
      <c r="AI937" s="4">
        <v>5</v>
      </c>
      <c r="AJ937" s="4">
        <v>11</v>
      </c>
      <c r="AK937" s="4">
        <v>11</v>
      </c>
      <c r="AL937" s="4">
        <v>3</v>
      </c>
      <c r="AM937" s="4">
        <v>3</v>
      </c>
      <c r="AN937" s="4">
        <v>0</v>
      </c>
      <c r="AO937" s="4">
        <v>0</v>
      </c>
      <c r="AP937" s="3" t="s">
        <v>61</v>
      </c>
      <c r="AQ937" s="3" t="s">
        <v>61</v>
      </c>
      <c r="AR937" s="6" t="str">
        <f>HYPERLINK("http://catalog.hathitrust.org/Record/000493531","HathiTrust Record")</f>
        <v>HathiTrust Record</v>
      </c>
      <c r="AS937" s="6" t="str">
        <f>HYPERLINK("https://creighton-primo.hosted.exlibrisgroup.com/primo-explore/search?tab=default_tab&amp;search_scope=EVERYTHING&amp;vid=01CRU&amp;lang=en_US&amp;offset=0&amp;query=any,contains,991002677069702656","Catalog Record")</f>
        <v>Catalog Record</v>
      </c>
      <c r="AT937" s="6" t="str">
        <f>HYPERLINK("http://www.worldcat.org/oclc/397228","WorldCat Record")</f>
        <v>WorldCat Record</v>
      </c>
      <c r="AU937" s="3" t="s">
        <v>10451</v>
      </c>
      <c r="AV937" s="3" t="s">
        <v>10452</v>
      </c>
      <c r="AW937" s="3" t="s">
        <v>10453</v>
      </c>
      <c r="AX937" s="3" t="s">
        <v>10453</v>
      </c>
      <c r="AY937" s="3" t="s">
        <v>10454</v>
      </c>
      <c r="AZ937" s="3" t="s">
        <v>75</v>
      </c>
      <c r="BC937" s="3" t="s">
        <v>10455</v>
      </c>
      <c r="BD937" s="3" t="s">
        <v>10456</v>
      </c>
    </row>
    <row r="938" spans="1:56" ht="44.25" customHeight="1" x14ac:dyDescent="0.25">
      <c r="A938" s="7" t="s">
        <v>61</v>
      </c>
      <c r="B938" s="2" t="s">
        <v>10457</v>
      </c>
      <c r="C938" s="2" t="s">
        <v>10458</v>
      </c>
      <c r="D938" s="2" t="s">
        <v>10459</v>
      </c>
      <c r="F938" s="3" t="s">
        <v>61</v>
      </c>
      <c r="G938" s="3" t="s">
        <v>60</v>
      </c>
      <c r="H938" s="3" t="s">
        <v>61</v>
      </c>
      <c r="I938" s="3" t="s">
        <v>61</v>
      </c>
      <c r="J938" s="3" t="s">
        <v>62</v>
      </c>
      <c r="K938" s="2" t="s">
        <v>10460</v>
      </c>
      <c r="L938" s="2" t="s">
        <v>10461</v>
      </c>
      <c r="M938" s="3" t="s">
        <v>3279</v>
      </c>
      <c r="O938" s="3" t="s">
        <v>114</v>
      </c>
      <c r="P938" s="3" t="s">
        <v>235</v>
      </c>
      <c r="R938" s="3" t="s">
        <v>68</v>
      </c>
      <c r="S938" s="4">
        <v>1</v>
      </c>
      <c r="T938" s="4">
        <v>1</v>
      </c>
      <c r="U938" s="5" t="s">
        <v>510</v>
      </c>
      <c r="V938" s="5" t="s">
        <v>510</v>
      </c>
      <c r="W938" s="5" t="s">
        <v>10401</v>
      </c>
      <c r="X938" s="5" t="s">
        <v>10401</v>
      </c>
      <c r="Y938" s="4">
        <v>301</v>
      </c>
      <c r="Z938" s="4">
        <v>278</v>
      </c>
      <c r="AA938" s="4">
        <v>1317</v>
      </c>
      <c r="AB938" s="4">
        <v>1</v>
      </c>
      <c r="AC938" s="4">
        <v>11</v>
      </c>
      <c r="AD938" s="4">
        <v>7</v>
      </c>
      <c r="AE938" s="4">
        <v>49</v>
      </c>
      <c r="AF938" s="4">
        <v>4</v>
      </c>
      <c r="AG938" s="4">
        <v>22</v>
      </c>
      <c r="AH938" s="4">
        <v>3</v>
      </c>
      <c r="AI938" s="4">
        <v>10</v>
      </c>
      <c r="AJ938" s="4">
        <v>4</v>
      </c>
      <c r="AK938" s="4">
        <v>20</v>
      </c>
      <c r="AL938" s="4">
        <v>0</v>
      </c>
      <c r="AM938" s="4">
        <v>8</v>
      </c>
      <c r="AN938" s="4">
        <v>0</v>
      </c>
      <c r="AO938" s="4">
        <v>0</v>
      </c>
      <c r="AP938" s="3" t="s">
        <v>61</v>
      </c>
      <c r="AQ938" s="3" t="s">
        <v>59</v>
      </c>
      <c r="AR938" s="6" t="str">
        <f>HYPERLINK("http://catalog.hathitrust.org/Record/000468528","HathiTrust Record")</f>
        <v>HathiTrust Record</v>
      </c>
      <c r="AS938" s="6" t="str">
        <f>HYPERLINK("https://creighton-primo.hosted.exlibrisgroup.com/primo-explore/search?tab=default_tab&amp;search_scope=EVERYTHING&amp;vid=01CRU&amp;lang=en_US&amp;offset=0&amp;query=any,contains,991002295749702656","Catalog Record")</f>
        <v>Catalog Record</v>
      </c>
      <c r="AT938" s="6" t="str">
        <f>HYPERLINK("http://www.worldcat.org/oclc/315347","WorldCat Record")</f>
        <v>WorldCat Record</v>
      </c>
      <c r="AU938" s="3" t="s">
        <v>10462</v>
      </c>
      <c r="AV938" s="3" t="s">
        <v>10463</v>
      </c>
      <c r="AW938" s="3" t="s">
        <v>10464</v>
      </c>
      <c r="AX938" s="3" t="s">
        <v>10464</v>
      </c>
      <c r="AY938" s="3" t="s">
        <v>10465</v>
      </c>
      <c r="AZ938" s="3" t="s">
        <v>75</v>
      </c>
      <c r="BC938" s="3" t="s">
        <v>10466</v>
      </c>
      <c r="BD938" s="3" t="s">
        <v>10467</v>
      </c>
    </row>
    <row r="939" spans="1:56" ht="44.25" customHeight="1" x14ac:dyDescent="0.25">
      <c r="A939" s="7" t="s">
        <v>61</v>
      </c>
      <c r="B939" s="2" t="s">
        <v>10468</v>
      </c>
      <c r="C939" s="2" t="s">
        <v>10469</v>
      </c>
      <c r="D939" s="2" t="s">
        <v>10470</v>
      </c>
      <c r="F939" s="3" t="s">
        <v>61</v>
      </c>
      <c r="G939" s="3" t="s">
        <v>60</v>
      </c>
      <c r="H939" s="3" t="s">
        <v>61</v>
      </c>
      <c r="I939" s="3" t="s">
        <v>61</v>
      </c>
      <c r="J939" s="3" t="s">
        <v>62</v>
      </c>
      <c r="K939" s="2" t="s">
        <v>10471</v>
      </c>
      <c r="L939" s="2" t="s">
        <v>10472</v>
      </c>
      <c r="M939" s="3" t="s">
        <v>1060</v>
      </c>
      <c r="O939" s="3" t="s">
        <v>114</v>
      </c>
      <c r="P939" s="3" t="s">
        <v>235</v>
      </c>
      <c r="R939" s="3" t="s">
        <v>68</v>
      </c>
      <c r="S939" s="4">
        <v>1</v>
      </c>
      <c r="T939" s="4">
        <v>1</v>
      </c>
      <c r="U939" s="5" t="s">
        <v>510</v>
      </c>
      <c r="V939" s="5" t="s">
        <v>510</v>
      </c>
      <c r="W939" s="5" t="s">
        <v>10114</v>
      </c>
      <c r="X939" s="5" t="s">
        <v>10114</v>
      </c>
      <c r="Y939" s="4">
        <v>527</v>
      </c>
      <c r="Z939" s="4">
        <v>491</v>
      </c>
      <c r="AA939" s="4">
        <v>513</v>
      </c>
      <c r="AB939" s="4">
        <v>3</v>
      </c>
      <c r="AC939" s="4">
        <v>3</v>
      </c>
      <c r="AD939" s="4">
        <v>17</v>
      </c>
      <c r="AE939" s="4">
        <v>17</v>
      </c>
      <c r="AF939" s="4">
        <v>7</v>
      </c>
      <c r="AG939" s="4">
        <v>7</v>
      </c>
      <c r="AH939" s="4">
        <v>3</v>
      </c>
      <c r="AI939" s="4">
        <v>3</v>
      </c>
      <c r="AJ939" s="4">
        <v>9</v>
      </c>
      <c r="AK939" s="4">
        <v>9</v>
      </c>
      <c r="AL939" s="4">
        <v>1</v>
      </c>
      <c r="AM939" s="4">
        <v>1</v>
      </c>
      <c r="AN939" s="4">
        <v>0</v>
      </c>
      <c r="AO939" s="4">
        <v>0</v>
      </c>
      <c r="AP939" s="3" t="s">
        <v>59</v>
      </c>
      <c r="AQ939" s="3" t="s">
        <v>61</v>
      </c>
      <c r="AR939" s="6" t="str">
        <f>HYPERLINK("http://catalog.hathitrust.org/Record/000593851","HathiTrust Record")</f>
        <v>HathiTrust Record</v>
      </c>
      <c r="AS939" s="6" t="str">
        <f>HYPERLINK("https://creighton-primo.hosted.exlibrisgroup.com/primo-explore/search?tab=default_tab&amp;search_scope=EVERYTHING&amp;vid=01CRU&amp;lang=en_US&amp;offset=0&amp;query=any,contains,991003330279702656","Catalog Record")</f>
        <v>Catalog Record</v>
      </c>
      <c r="AT939" s="6" t="str">
        <f>HYPERLINK("http://www.worldcat.org/oclc/860526","WorldCat Record")</f>
        <v>WorldCat Record</v>
      </c>
      <c r="AU939" s="3" t="s">
        <v>10473</v>
      </c>
      <c r="AV939" s="3" t="s">
        <v>10474</v>
      </c>
      <c r="AW939" s="3" t="s">
        <v>10475</v>
      </c>
      <c r="AX939" s="3" t="s">
        <v>10475</v>
      </c>
      <c r="AY939" s="3" t="s">
        <v>10476</v>
      </c>
      <c r="AZ939" s="3" t="s">
        <v>75</v>
      </c>
      <c r="BC939" s="3" t="s">
        <v>10477</v>
      </c>
      <c r="BD939" s="3" t="s">
        <v>10478</v>
      </c>
    </row>
    <row r="940" spans="1:56" ht="44.25" customHeight="1" x14ac:dyDescent="0.25">
      <c r="A940" s="7" t="s">
        <v>61</v>
      </c>
      <c r="B940" s="2" t="s">
        <v>10479</v>
      </c>
      <c r="C940" s="2" t="s">
        <v>10480</v>
      </c>
      <c r="D940" s="2" t="s">
        <v>10481</v>
      </c>
      <c r="F940" s="3" t="s">
        <v>61</v>
      </c>
      <c r="G940" s="3" t="s">
        <v>60</v>
      </c>
      <c r="H940" s="3" t="s">
        <v>61</v>
      </c>
      <c r="I940" s="3" t="s">
        <v>61</v>
      </c>
      <c r="J940" s="3" t="s">
        <v>62</v>
      </c>
      <c r="K940" s="2" t="s">
        <v>10482</v>
      </c>
      <c r="L940" s="2" t="s">
        <v>10483</v>
      </c>
      <c r="M940" s="3" t="s">
        <v>796</v>
      </c>
      <c r="N940" s="2" t="s">
        <v>634</v>
      </c>
      <c r="O940" s="3" t="s">
        <v>114</v>
      </c>
      <c r="P940" s="3" t="s">
        <v>235</v>
      </c>
      <c r="R940" s="3" t="s">
        <v>68</v>
      </c>
      <c r="S940" s="4">
        <v>5</v>
      </c>
      <c r="T940" s="4">
        <v>5</v>
      </c>
      <c r="U940" s="5" t="s">
        <v>10484</v>
      </c>
      <c r="V940" s="5" t="s">
        <v>10484</v>
      </c>
      <c r="W940" s="5" t="s">
        <v>10485</v>
      </c>
      <c r="X940" s="5" t="s">
        <v>10485</v>
      </c>
      <c r="Y940" s="4">
        <v>1109</v>
      </c>
      <c r="Z940" s="4">
        <v>1058</v>
      </c>
      <c r="AA940" s="4">
        <v>1264</v>
      </c>
      <c r="AB940" s="4">
        <v>6</v>
      </c>
      <c r="AC940" s="4">
        <v>7</v>
      </c>
      <c r="AD940" s="4">
        <v>19</v>
      </c>
      <c r="AE940" s="4">
        <v>21</v>
      </c>
      <c r="AF940" s="4">
        <v>9</v>
      </c>
      <c r="AG940" s="4">
        <v>10</v>
      </c>
      <c r="AH940" s="4">
        <v>5</v>
      </c>
      <c r="AI940" s="4">
        <v>6</v>
      </c>
      <c r="AJ940" s="4">
        <v>11</v>
      </c>
      <c r="AK940" s="4">
        <v>11</v>
      </c>
      <c r="AL940" s="4">
        <v>1</v>
      </c>
      <c r="AM940" s="4">
        <v>1</v>
      </c>
      <c r="AN940" s="4">
        <v>0</v>
      </c>
      <c r="AO940" s="4">
        <v>0</v>
      </c>
      <c r="AP940" s="3" t="s">
        <v>61</v>
      </c>
      <c r="AQ940" s="3" t="s">
        <v>59</v>
      </c>
      <c r="AR940" s="6" t="str">
        <f>HYPERLINK("http://catalog.hathitrust.org/Record/000910631","HathiTrust Record")</f>
        <v>HathiTrust Record</v>
      </c>
      <c r="AS940" s="6" t="str">
        <f>HYPERLINK("https://creighton-primo.hosted.exlibrisgroup.com/primo-explore/search?tab=default_tab&amp;search_scope=EVERYTHING&amp;vid=01CRU&amp;lang=en_US&amp;offset=0&amp;query=any,contains,991001026299702656","Catalog Record")</f>
        <v>Catalog Record</v>
      </c>
      <c r="AT940" s="6" t="str">
        <f>HYPERLINK("http://www.worldcat.org/oclc/15485726","WorldCat Record")</f>
        <v>WorldCat Record</v>
      </c>
      <c r="AU940" s="3" t="s">
        <v>10486</v>
      </c>
      <c r="AV940" s="3" t="s">
        <v>10487</v>
      </c>
      <c r="AW940" s="3" t="s">
        <v>10488</v>
      </c>
      <c r="AX940" s="3" t="s">
        <v>10488</v>
      </c>
      <c r="AY940" s="3" t="s">
        <v>10489</v>
      </c>
      <c r="AZ940" s="3" t="s">
        <v>75</v>
      </c>
      <c r="BB940" s="3" t="s">
        <v>10490</v>
      </c>
      <c r="BC940" s="3" t="s">
        <v>10491</v>
      </c>
      <c r="BD940" s="3" t="s">
        <v>10492</v>
      </c>
    </row>
    <row r="941" spans="1:56" ht="44.25" customHeight="1" x14ac:dyDescent="0.25">
      <c r="A941" s="7" t="s">
        <v>61</v>
      </c>
      <c r="B941" s="2" t="s">
        <v>10493</v>
      </c>
      <c r="C941" s="2" t="s">
        <v>10494</v>
      </c>
      <c r="D941" s="2" t="s">
        <v>10495</v>
      </c>
      <c r="F941" s="3" t="s">
        <v>61</v>
      </c>
      <c r="G941" s="3" t="s">
        <v>60</v>
      </c>
      <c r="H941" s="3" t="s">
        <v>61</v>
      </c>
      <c r="I941" s="3" t="s">
        <v>61</v>
      </c>
      <c r="J941" s="3" t="s">
        <v>62</v>
      </c>
      <c r="K941" s="2" t="s">
        <v>10496</v>
      </c>
      <c r="L941" s="2" t="s">
        <v>10497</v>
      </c>
      <c r="M941" s="3" t="s">
        <v>1185</v>
      </c>
      <c r="O941" s="3" t="s">
        <v>114</v>
      </c>
      <c r="P941" s="3" t="s">
        <v>364</v>
      </c>
      <c r="R941" s="3" t="s">
        <v>68</v>
      </c>
      <c r="S941" s="4">
        <v>19</v>
      </c>
      <c r="T941" s="4">
        <v>19</v>
      </c>
      <c r="U941" s="5" t="s">
        <v>10498</v>
      </c>
      <c r="V941" s="5" t="s">
        <v>10498</v>
      </c>
      <c r="W941" s="5" t="s">
        <v>10499</v>
      </c>
      <c r="X941" s="5" t="s">
        <v>10499</v>
      </c>
      <c r="Y941" s="4">
        <v>752</v>
      </c>
      <c r="Z941" s="4">
        <v>710</v>
      </c>
      <c r="AA941" s="4">
        <v>713</v>
      </c>
      <c r="AB941" s="4">
        <v>15</v>
      </c>
      <c r="AC941" s="4">
        <v>15</v>
      </c>
      <c r="AD941" s="4">
        <v>36</v>
      </c>
      <c r="AE941" s="4">
        <v>36</v>
      </c>
      <c r="AF941" s="4">
        <v>10</v>
      </c>
      <c r="AG941" s="4">
        <v>10</v>
      </c>
      <c r="AH941" s="4">
        <v>5</v>
      </c>
      <c r="AI941" s="4">
        <v>5</v>
      </c>
      <c r="AJ941" s="4">
        <v>14</v>
      </c>
      <c r="AK941" s="4">
        <v>14</v>
      </c>
      <c r="AL941" s="4">
        <v>12</v>
      </c>
      <c r="AM941" s="4">
        <v>12</v>
      </c>
      <c r="AN941" s="4">
        <v>0</v>
      </c>
      <c r="AO941" s="4">
        <v>0</v>
      </c>
      <c r="AP941" s="3" t="s">
        <v>61</v>
      </c>
      <c r="AQ941" s="3" t="s">
        <v>59</v>
      </c>
      <c r="AR941" s="6" t="str">
        <f>HYPERLINK("http://catalog.hathitrust.org/Record/000592721","HathiTrust Record")</f>
        <v>HathiTrust Record</v>
      </c>
      <c r="AS941" s="6" t="str">
        <f>HYPERLINK("https://creighton-primo.hosted.exlibrisgroup.com/primo-explore/search?tab=default_tab&amp;search_scope=EVERYTHING&amp;vid=01CRU&amp;lang=en_US&amp;offset=0&amp;query=any,contains,991002675739702656","Catalog Record")</f>
        <v>Catalog Record</v>
      </c>
      <c r="AT941" s="6" t="str">
        <f>HYPERLINK("http://www.worldcat.org/oclc/396926","WorldCat Record")</f>
        <v>WorldCat Record</v>
      </c>
      <c r="AU941" s="3" t="s">
        <v>10500</v>
      </c>
      <c r="AV941" s="3" t="s">
        <v>10501</v>
      </c>
      <c r="AW941" s="3" t="s">
        <v>10502</v>
      </c>
      <c r="AX941" s="3" t="s">
        <v>10502</v>
      </c>
      <c r="AY941" s="3" t="s">
        <v>10503</v>
      </c>
      <c r="AZ941" s="3" t="s">
        <v>75</v>
      </c>
      <c r="BC941" s="3" t="s">
        <v>10504</v>
      </c>
      <c r="BD941" s="3" t="s">
        <v>10505</v>
      </c>
    </row>
    <row r="942" spans="1:56" ht="44.25" customHeight="1" x14ac:dyDescent="0.25">
      <c r="A942" s="7" t="s">
        <v>61</v>
      </c>
      <c r="B942" s="2" t="s">
        <v>10506</v>
      </c>
      <c r="C942" s="2" t="s">
        <v>10507</v>
      </c>
      <c r="D942" s="2" t="s">
        <v>10508</v>
      </c>
      <c r="F942" s="3" t="s">
        <v>61</v>
      </c>
      <c r="G942" s="3" t="s">
        <v>60</v>
      </c>
      <c r="H942" s="3" t="s">
        <v>61</v>
      </c>
      <c r="I942" s="3" t="s">
        <v>61</v>
      </c>
      <c r="J942" s="3" t="s">
        <v>62</v>
      </c>
      <c r="K942" s="2" t="s">
        <v>10509</v>
      </c>
      <c r="L942" s="2" t="s">
        <v>10510</v>
      </c>
      <c r="M942" s="3" t="s">
        <v>1306</v>
      </c>
      <c r="O942" s="3" t="s">
        <v>114</v>
      </c>
      <c r="P942" s="3" t="s">
        <v>235</v>
      </c>
      <c r="R942" s="3" t="s">
        <v>68</v>
      </c>
      <c r="S942" s="4">
        <v>26</v>
      </c>
      <c r="T942" s="4">
        <v>26</v>
      </c>
      <c r="U942" s="5" t="s">
        <v>10498</v>
      </c>
      <c r="V942" s="5" t="s">
        <v>10498</v>
      </c>
      <c r="W942" s="5" t="s">
        <v>10511</v>
      </c>
      <c r="X942" s="5" t="s">
        <v>10511</v>
      </c>
      <c r="Y942" s="4">
        <v>680</v>
      </c>
      <c r="Z942" s="4">
        <v>637</v>
      </c>
      <c r="AA942" s="4">
        <v>698</v>
      </c>
      <c r="AB942" s="4">
        <v>6</v>
      </c>
      <c r="AC942" s="4">
        <v>7</v>
      </c>
      <c r="AD942" s="4">
        <v>39</v>
      </c>
      <c r="AE942" s="4">
        <v>41</v>
      </c>
      <c r="AF942" s="4">
        <v>16</v>
      </c>
      <c r="AG942" s="4">
        <v>17</v>
      </c>
      <c r="AH942" s="4">
        <v>5</v>
      </c>
      <c r="AI942" s="4">
        <v>6</v>
      </c>
      <c r="AJ942" s="4">
        <v>21</v>
      </c>
      <c r="AK942" s="4">
        <v>21</v>
      </c>
      <c r="AL942" s="4">
        <v>4</v>
      </c>
      <c r="AM942" s="4">
        <v>5</v>
      </c>
      <c r="AN942" s="4">
        <v>2</v>
      </c>
      <c r="AO942" s="4">
        <v>2</v>
      </c>
      <c r="AP942" s="3" t="s">
        <v>61</v>
      </c>
      <c r="AQ942" s="3" t="s">
        <v>61</v>
      </c>
      <c r="AR942" s="6" t="str">
        <f>HYPERLINK("http://catalog.hathitrust.org/Record/000596799","HathiTrust Record")</f>
        <v>HathiTrust Record</v>
      </c>
      <c r="AS942" s="6" t="str">
        <f>HYPERLINK("https://creighton-primo.hosted.exlibrisgroup.com/primo-explore/search?tab=default_tab&amp;search_scope=EVERYTHING&amp;vid=01CRU&amp;lang=en_US&amp;offset=0&amp;query=any,contains,991002678909702656","Catalog Record")</f>
        <v>Catalog Record</v>
      </c>
      <c r="AT942" s="6" t="str">
        <f>HYPERLINK("http://www.worldcat.org/oclc/397835","WorldCat Record")</f>
        <v>WorldCat Record</v>
      </c>
      <c r="AU942" s="3" t="s">
        <v>10512</v>
      </c>
      <c r="AV942" s="3" t="s">
        <v>10513</v>
      </c>
      <c r="AW942" s="3" t="s">
        <v>10514</v>
      </c>
      <c r="AX942" s="3" t="s">
        <v>10514</v>
      </c>
      <c r="AY942" s="3" t="s">
        <v>10515</v>
      </c>
      <c r="AZ942" s="3" t="s">
        <v>75</v>
      </c>
      <c r="BC942" s="3" t="s">
        <v>10516</v>
      </c>
      <c r="BD942" s="3" t="s">
        <v>10517</v>
      </c>
    </row>
    <row r="943" spans="1:56" ht="44.25" customHeight="1" x14ac:dyDescent="0.25">
      <c r="A943" s="7" t="s">
        <v>61</v>
      </c>
      <c r="B943" s="2" t="s">
        <v>10518</v>
      </c>
      <c r="C943" s="2" t="s">
        <v>10519</v>
      </c>
      <c r="D943" s="2" t="s">
        <v>10520</v>
      </c>
      <c r="F943" s="3" t="s">
        <v>61</v>
      </c>
      <c r="G943" s="3" t="s">
        <v>60</v>
      </c>
      <c r="H943" s="3" t="s">
        <v>61</v>
      </c>
      <c r="I943" s="3" t="s">
        <v>61</v>
      </c>
      <c r="J943" s="3" t="s">
        <v>62</v>
      </c>
      <c r="K943" s="2" t="s">
        <v>8207</v>
      </c>
      <c r="L943" s="2" t="s">
        <v>10521</v>
      </c>
      <c r="M943" s="3" t="s">
        <v>2391</v>
      </c>
      <c r="O943" s="3" t="s">
        <v>114</v>
      </c>
      <c r="P943" s="3" t="s">
        <v>192</v>
      </c>
      <c r="R943" s="3" t="s">
        <v>68</v>
      </c>
      <c r="S943" s="4">
        <v>9</v>
      </c>
      <c r="T943" s="4">
        <v>9</v>
      </c>
      <c r="U943" s="5" t="s">
        <v>10522</v>
      </c>
      <c r="V943" s="5" t="s">
        <v>10522</v>
      </c>
      <c r="W943" s="5" t="s">
        <v>10523</v>
      </c>
      <c r="X943" s="5" t="s">
        <v>10523</v>
      </c>
      <c r="Y943" s="4">
        <v>1042</v>
      </c>
      <c r="Z943" s="4">
        <v>874</v>
      </c>
      <c r="AA943" s="4">
        <v>1347</v>
      </c>
      <c r="AB943" s="4">
        <v>9</v>
      </c>
      <c r="AC943" s="4">
        <v>18</v>
      </c>
      <c r="AD943" s="4">
        <v>8</v>
      </c>
      <c r="AE943" s="4">
        <v>10</v>
      </c>
      <c r="AF943" s="4">
        <v>3</v>
      </c>
      <c r="AG943" s="4">
        <v>4</v>
      </c>
      <c r="AH943" s="4">
        <v>2</v>
      </c>
      <c r="AI943" s="4">
        <v>2</v>
      </c>
      <c r="AJ943" s="4">
        <v>3</v>
      </c>
      <c r="AK943" s="4">
        <v>4</v>
      </c>
      <c r="AL943" s="4">
        <v>1</v>
      </c>
      <c r="AM943" s="4">
        <v>1</v>
      </c>
      <c r="AN943" s="4">
        <v>0</v>
      </c>
      <c r="AO943" s="4">
        <v>0</v>
      </c>
      <c r="AP943" s="3" t="s">
        <v>61</v>
      </c>
      <c r="AQ943" s="3" t="s">
        <v>61</v>
      </c>
      <c r="AS943" s="6" t="str">
        <f>HYPERLINK("https://creighton-primo.hosted.exlibrisgroup.com/primo-explore/search?tab=default_tab&amp;search_scope=EVERYTHING&amp;vid=01CRU&amp;lang=en_US&amp;offset=0&amp;query=any,contains,991003611219702656","Catalog Record")</f>
        <v>Catalog Record</v>
      </c>
      <c r="AT943" s="6" t="str">
        <f>HYPERLINK("http://www.worldcat.org/oclc/45991811","WorldCat Record")</f>
        <v>WorldCat Record</v>
      </c>
      <c r="AU943" s="3" t="s">
        <v>10524</v>
      </c>
      <c r="AV943" s="3" t="s">
        <v>10525</v>
      </c>
      <c r="AW943" s="3" t="s">
        <v>10526</v>
      </c>
      <c r="AX943" s="3" t="s">
        <v>10526</v>
      </c>
      <c r="AY943" s="3" t="s">
        <v>10527</v>
      </c>
      <c r="AZ943" s="3" t="s">
        <v>75</v>
      </c>
      <c r="BB943" s="3" t="s">
        <v>10528</v>
      </c>
      <c r="BC943" s="3" t="s">
        <v>10529</v>
      </c>
      <c r="BD943" s="3" t="s">
        <v>10530</v>
      </c>
    </row>
    <row r="944" spans="1:56" ht="44.25" customHeight="1" x14ac:dyDescent="0.25">
      <c r="A944" s="7" t="s">
        <v>61</v>
      </c>
      <c r="B944" s="2" t="s">
        <v>10531</v>
      </c>
      <c r="C944" s="2" t="s">
        <v>10532</v>
      </c>
      <c r="D944" s="2" t="s">
        <v>10533</v>
      </c>
      <c r="F944" s="3" t="s">
        <v>61</v>
      </c>
      <c r="G944" s="3" t="s">
        <v>60</v>
      </c>
      <c r="H944" s="3" t="s">
        <v>61</v>
      </c>
      <c r="I944" s="3" t="s">
        <v>61</v>
      </c>
      <c r="J944" s="3" t="s">
        <v>62</v>
      </c>
      <c r="K944" s="2" t="s">
        <v>10534</v>
      </c>
      <c r="L944" s="2" t="s">
        <v>10535</v>
      </c>
      <c r="M944" s="3" t="s">
        <v>7720</v>
      </c>
      <c r="O944" s="3" t="s">
        <v>114</v>
      </c>
      <c r="P944" s="3" t="s">
        <v>235</v>
      </c>
      <c r="R944" s="3" t="s">
        <v>68</v>
      </c>
      <c r="S944" s="4">
        <v>22</v>
      </c>
      <c r="T944" s="4">
        <v>22</v>
      </c>
      <c r="U944" s="5" t="s">
        <v>10536</v>
      </c>
      <c r="V944" s="5" t="s">
        <v>10536</v>
      </c>
      <c r="W944" s="5" t="s">
        <v>10537</v>
      </c>
      <c r="X944" s="5" t="s">
        <v>10537</v>
      </c>
      <c r="Y944" s="4">
        <v>1668</v>
      </c>
      <c r="Z944" s="4">
        <v>1601</v>
      </c>
      <c r="AA944" s="4">
        <v>2542</v>
      </c>
      <c r="AB944" s="4">
        <v>16</v>
      </c>
      <c r="AC944" s="4">
        <v>24</v>
      </c>
      <c r="AD944" s="4">
        <v>43</v>
      </c>
      <c r="AE944" s="4">
        <v>54</v>
      </c>
      <c r="AF944" s="4">
        <v>20</v>
      </c>
      <c r="AG944" s="4">
        <v>25</v>
      </c>
      <c r="AH944" s="4">
        <v>8</v>
      </c>
      <c r="AI944" s="4">
        <v>10</v>
      </c>
      <c r="AJ944" s="4">
        <v>19</v>
      </c>
      <c r="AK944" s="4">
        <v>23</v>
      </c>
      <c r="AL944" s="4">
        <v>7</v>
      </c>
      <c r="AM944" s="4">
        <v>10</v>
      </c>
      <c r="AN944" s="4">
        <v>0</v>
      </c>
      <c r="AO944" s="4">
        <v>0</v>
      </c>
      <c r="AP944" s="3" t="s">
        <v>61</v>
      </c>
      <c r="AQ944" s="3" t="s">
        <v>59</v>
      </c>
      <c r="AR944" s="6" t="str">
        <f>HYPERLINK("http://catalog.hathitrust.org/Record/003151601","HathiTrust Record")</f>
        <v>HathiTrust Record</v>
      </c>
      <c r="AS944" s="6" t="str">
        <f>HYPERLINK("https://creighton-primo.hosted.exlibrisgroup.com/primo-explore/search?tab=default_tab&amp;search_scope=EVERYTHING&amp;vid=01CRU&amp;lang=en_US&amp;offset=0&amp;query=any,contains,991002676299702656","Catalog Record")</f>
        <v>Catalog Record</v>
      </c>
      <c r="AT944" s="6" t="str">
        <f>HYPERLINK("http://www.worldcat.org/oclc/397106","WorldCat Record")</f>
        <v>WorldCat Record</v>
      </c>
      <c r="AU944" s="3" t="s">
        <v>10538</v>
      </c>
      <c r="AV944" s="3" t="s">
        <v>10539</v>
      </c>
      <c r="AW944" s="3" t="s">
        <v>10540</v>
      </c>
      <c r="AX944" s="3" t="s">
        <v>10540</v>
      </c>
      <c r="AY944" s="3" t="s">
        <v>10541</v>
      </c>
      <c r="AZ944" s="3" t="s">
        <v>75</v>
      </c>
      <c r="BC944" s="3" t="s">
        <v>10542</v>
      </c>
      <c r="BD944" s="3" t="s">
        <v>10543</v>
      </c>
    </row>
    <row r="945" spans="1:56" ht="44.25" customHeight="1" x14ac:dyDescent="0.25">
      <c r="A945" s="7" t="s">
        <v>61</v>
      </c>
      <c r="B945" s="2" t="s">
        <v>10544</v>
      </c>
      <c r="C945" s="2" t="s">
        <v>10545</v>
      </c>
      <c r="D945" s="2" t="s">
        <v>10546</v>
      </c>
      <c r="F945" s="3" t="s">
        <v>61</v>
      </c>
      <c r="G945" s="3" t="s">
        <v>60</v>
      </c>
      <c r="H945" s="3" t="s">
        <v>61</v>
      </c>
      <c r="I945" s="3" t="s">
        <v>61</v>
      </c>
      <c r="J945" s="3" t="s">
        <v>62</v>
      </c>
      <c r="K945" s="2" t="s">
        <v>10547</v>
      </c>
      <c r="L945" s="2" t="s">
        <v>10548</v>
      </c>
      <c r="M945" s="3" t="s">
        <v>7375</v>
      </c>
      <c r="O945" s="3" t="s">
        <v>114</v>
      </c>
      <c r="P945" s="3" t="s">
        <v>67</v>
      </c>
      <c r="R945" s="3" t="s">
        <v>68</v>
      </c>
      <c r="S945" s="4">
        <v>3</v>
      </c>
      <c r="T945" s="4">
        <v>3</v>
      </c>
      <c r="U945" s="5" t="s">
        <v>10549</v>
      </c>
      <c r="V945" s="5" t="s">
        <v>10549</v>
      </c>
      <c r="W945" s="5" t="s">
        <v>10550</v>
      </c>
      <c r="X945" s="5" t="s">
        <v>10550</v>
      </c>
      <c r="Y945" s="4">
        <v>440</v>
      </c>
      <c r="Z945" s="4">
        <v>416</v>
      </c>
      <c r="AA945" s="4">
        <v>426</v>
      </c>
      <c r="AB945" s="4">
        <v>6</v>
      </c>
      <c r="AC945" s="4">
        <v>6</v>
      </c>
      <c r="AD945" s="4">
        <v>15</v>
      </c>
      <c r="AE945" s="4">
        <v>15</v>
      </c>
      <c r="AF945" s="4">
        <v>4</v>
      </c>
      <c r="AG945" s="4">
        <v>4</v>
      </c>
      <c r="AH945" s="4">
        <v>1</v>
      </c>
      <c r="AI945" s="4">
        <v>1</v>
      </c>
      <c r="AJ945" s="4">
        <v>7</v>
      </c>
      <c r="AK945" s="4">
        <v>7</v>
      </c>
      <c r="AL945" s="4">
        <v>5</v>
      </c>
      <c r="AM945" s="4">
        <v>5</v>
      </c>
      <c r="AN945" s="4">
        <v>0</v>
      </c>
      <c r="AO945" s="4">
        <v>0</v>
      </c>
      <c r="AP945" s="3" t="s">
        <v>59</v>
      </c>
      <c r="AQ945" s="3" t="s">
        <v>61</v>
      </c>
      <c r="AR945" s="6" t="str">
        <f>HYPERLINK("http://catalog.hathitrust.org/Record/000807118","HathiTrust Record")</f>
        <v>HathiTrust Record</v>
      </c>
      <c r="AS945" s="6" t="str">
        <f>HYPERLINK("https://creighton-primo.hosted.exlibrisgroup.com/primo-explore/search?tab=default_tab&amp;search_scope=EVERYTHING&amp;vid=01CRU&amp;lang=en_US&amp;offset=0&amp;query=any,contains,991003685699702656","Catalog Record")</f>
        <v>Catalog Record</v>
      </c>
      <c r="AT945" s="6" t="str">
        <f>HYPERLINK("http://www.worldcat.org/oclc/1313812","WorldCat Record")</f>
        <v>WorldCat Record</v>
      </c>
      <c r="AU945" s="3" t="s">
        <v>10551</v>
      </c>
      <c r="AV945" s="3" t="s">
        <v>10552</v>
      </c>
      <c r="AW945" s="3" t="s">
        <v>10553</v>
      </c>
      <c r="AX945" s="3" t="s">
        <v>10553</v>
      </c>
      <c r="AY945" s="3" t="s">
        <v>10554</v>
      </c>
      <c r="AZ945" s="3" t="s">
        <v>75</v>
      </c>
      <c r="BC945" s="3" t="s">
        <v>10555</v>
      </c>
      <c r="BD945" s="3" t="s">
        <v>10556</v>
      </c>
    </row>
    <row r="946" spans="1:56" ht="44.25" customHeight="1" x14ac:dyDescent="0.25">
      <c r="A946" s="7" t="s">
        <v>61</v>
      </c>
      <c r="B946" s="2" t="s">
        <v>10557</v>
      </c>
      <c r="C946" s="2" t="s">
        <v>10558</v>
      </c>
      <c r="D946" s="2" t="s">
        <v>10559</v>
      </c>
      <c r="F946" s="3" t="s">
        <v>61</v>
      </c>
      <c r="G946" s="3" t="s">
        <v>60</v>
      </c>
      <c r="H946" s="3" t="s">
        <v>61</v>
      </c>
      <c r="I946" s="3" t="s">
        <v>61</v>
      </c>
      <c r="J946" s="3" t="s">
        <v>62</v>
      </c>
      <c r="K946" s="2" t="s">
        <v>10547</v>
      </c>
      <c r="L946" s="2" t="s">
        <v>10560</v>
      </c>
      <c r="M946" s="3" t="s">
        <v>1624</v>
      </c>
      <c r="O946" s="3" t="s">
        <v>114</v>
      </c>
      <c r="P946" s="3" t="s">
        <v>619</v>
      </c>
      <c r="R946" s="3" t="s">
        <v>68</v>
      </c>
      <c r="S946" s="4">
        <v>3</v>
      </c>
      <c r="T946" s="4">
        <v>3</v>
      </c>
      <c r="U946" s="5" t="s">
        <v>10561</v>
      </c>
      <c r="V946" s="5" t="s">
        <v>10561</v>
      </c>
      <c r="W946" s="5" t="s">
        <v>10562</v>
      </c>
      <c r="X946" s="5" t="s">
        <v>10562</v>
      </c>
      <c r="Y946" s="4">
        <v>515</v>
      </c>
      <c r="Z946" s="4">
        <v>495</v>
      </c>
      <c r="AA946" s="4">
        <v>496</v>
      </c>
      <c r="AB946" s="4">
        <v>9</v>
      </c>
      <c r="AC946" s="4">
        <v>9</v>
      </c>
      <c r="AD946" s="4">
        <v>28</v>
      </c>
      <c r="AE946" s="4">
        <v>28</v>
      </c>
      <c r="AF946" s="4">
        <v>6</v>
      </c>
      <c r="AG946" s="4">
        <v>6</v>
      </c>
      <c r="AH946" s="4">
        <v>5</v>
      </c>
      <c r="AI946" s="4">
        <v>5</v>
      </c>
      <c r="AJ946" s="4">
        <v>16</v>
      </c>
      <c r="AK946" s="4">
        <v>16</v>
      </c>
      <c r="AL946" s="4">
        <v>6</v>
      </c>
      <c r="AM946" s="4">
        <v>6</v>
      </c>
      <c r="AN946" s="4">
        <v>0</v>
      </c>
      <c r="AO946" s="4">
        <v>0</v>
      </c>
      <c r="AP946" s="3" t="s">
        <v>59</v>
      </c>
      <c r="AQ946" s="3" t="s">
        <v>61</v>
      </c>
      <c r="AR946" s="6" t="str">
        <f>HYPERLINK("http://catalog.hathitrust.org/Record/000493467","HathiTrust Record")</f>
        <v>HathiTrust Record</v>
      </c>
      <c r="AS946" s="6" t="str">
        <f>HYPERLINK("https://creighton-primo.hosted.exlibrisgroup.com/primo-explore/search?tab=default_tab&amp;search_scope=EVERYTHING&amp;vid=01CRU&amp;lang=en_US&amp;offset=0&amp;query=any,contains,991003668279702656","Catalog Record")</f>
        <v>Catalog Record</v>
      </c>
      <c r="AT946" s="6" t="str">
        <f>HYPERLINK("http://www.worldcat.org/oclc/1283735","WorldCat Record")</f>
        <v>WorldCat Record</v>
      </c>
      <c r="AU946" s="3" t="s">
        <v>10563</v>
      </c>
      <c r="AV946" s="3" t="s">
        <v>10564</v>
      </c>
      <c r="AW946" s="3" t="s">
        <v>10565</v>
      </c>
      <c r="AX946" s="3" t="s">
        <v>10565</v>
      </c>
      <c r="AY946" s="3" t="s">
        <v>10566</v>
      </c>
      <c r="AZ946" s="3" t="s">
        <v>75</v>
      </c>
      <c r="BC946" s="3" t="s">
        <v>10567</v>
      </c>
      <c r="BD946" s="3" t="s">
        <v>10568</v>
      </c>
    </row>
    <row r="947" spans="1:56" ht="44.25" customHeight="1" x14ac:dyDescent="0.25">
      <c r="A947" s="7" t="s">
        <v>61</v>
      </c>
      <c r="B947" s="2" t="s">
        <v>10569</v>
      </c>
      <c r="C947" s="2" t="s">
        <v>10570</v>
      </c>
      <c r="D947" s="2" t="s">
        <v>10571</v>
      </c>
      <c r="F947" s="3" t="s">
        <v>61</v>
      </c>
      <c r="G947" s="3" t="s">
        <v>60</v>
      </c>
      <c r="H947" s="3" t="s">
        <v>61</v>
      </c>
      <c r="I947" s="3" t="s">
        <v>61</v>
      </c>
      <c r="J947" s="3" t="s">
        <v>62</v>
      </c>
      <c r="K947" s="2" t="s">
        <v>10572</v>
      </c>
      <c r="L947" s="2" t="s">
        <v>10573</v>
      </c>
      <c r="M947" s="3" t="s">
        <v>884</v>
      </c>
      <c r="N947" s="2" t="s">
        <v>306</v>
      </c>
      <c r="O947" s="3" t="s">
        <v>114</v>
      </c>
      <c r="P947" s="3" t="s">
        <v>235</v>
      </c>
      <c r="R947" s="3" t="s">
        <v>68</v>
      </c>
      <c r="S947" s="4">
        <v>3</v>
      </c>
      <c r="T947" s="4">
        <v>3</v>
      </c>
      <c r="U947" s="5" t="s">
        <v>10574</v>
      </c>
      <c r="V947" s="5" t="s">
        <v>10574</v>
      </c>
      <c r="W947" s="5" t="s">
        <v>10575</v>
      </c>
      <c r="X947" s="5" t="s">
        <v>10575</v>
      </c>
      <c r="Y947" s="4">
        <v>834</v>
      </c>
      <c r="Z947" s="4">
        <v>787</v>
      </c>
      <c r="AA947" s="4">
        <v>858</v>
      </c>
      <c r="AB947" s="4">
        <v>5</v>
      </c>
      <c r="AC947" s="4">
        <v>6</v>
      </c>
      <c r="AD947" s="4">
        <v>21</v>
      </c>
      <c r="AE947" s="4">
        <v>24</v>
      </c>
      <c r="AF947" s="4">
        <v>9</v>
      </c>
      <c r="AG947" s="4">
        <v>10</v>
      </c>
      <c r="AH947" s="4">
        <v>3</v>
      </c>
      <c r="AI947" s="4">
        <v>4</v>
      </c>
      <c r="AJ947" s="4">
        <v>10</v>
      </c>
      <c r="AK947" s="4">
        <v>12</v>
      </c>
      <c r="AL947" s="4">
        <v>3</v>
      </c>
      <c r="AM947" s="4">
        <v>3</v>
      </c>
      <c r="AN947" s="4">
        <v>0</v>
      </c>
      <c r="AO947" s="4">
        <v>0</v>
      </c>
      <c r="AP947" s="3" t="s">
        <v>61</v>
      </c>
      <c r="AQ947" s="3" t="s">
        <v>59</v>
      </c>
      <c r="AR947" s="6" t="str">
        <f>HYPERLINK("http://catalog.hathitrust.org/Record/000493477","HathiTrust Record")</f>
        <v>HathiTrust Record</v>
      </c>
      <c r="AS947" s="6" t="str">
        <f>HYPERLINK("https://creighton-primo.hosted.exlibrisgroup.com/primo-explore/search?tab=default_tab&amp;search_scope=EVERYTHING&amp;vid=01CRU&amp;lang=en_US&amp;offset=0&amp;query=any,contains,991000610239702656","Catalog Record")</f>
        <v>Catalog Record</v>
      </c>
      <c r="AT947" s="6" t="str">
        <f>HYPERLINK("http://www.worldcat.org/oclc/100340","WorldCat Record")</f>
        <v>WorldCat Record</v>
      </c>
      <c r="AU947" s="3" t="s">
        <v>10576</v>
      </c>
      <c r="AV947" s="3" t="s">
        <v>10577</v>
      </c>
      <c r="AW947" s="3" t="s">
        <v>10578</v>
      </c>
      <c r="AX947" s="3" t="s">
        <v>10578</v>
      </c>
      <c r="AY947" s="3" t="s">
        <v>10579</v>
      </c>
      <c r="AZ947" s="3" t="s">
        <v>75</v>
      </c>
      <c r="BC947" s="3" t="s">
        <v>10580</v>
      </c>
      <c r="BD947" s="3" t="s">
        <v>10581</v>
      </c>
    </row>
    <row r="948" spans="1:56" ht="44.25" customHeight="1" x14ac:dyDescent="0.25">
      <c r="A948" s="7" t="s">
        <v>61</v>
      </c>
      <c r="B948" s="2" t="s">
        <v>10582</v>
      </c>
      <c r="C948" s="2" t="s">
        <v>10583</v>
      </c>
      <c r="D948" s="2" t="s">
        <v>10584</v>
      </c>
      <c r="F948" s="3" t="s">
        <v>61</v>
      </c>
      <c r="G948" s="3" t="s">
        <v>60</v>
      </c>
      <c r="H948" s="3" t="s">
        <v>61</v>
      </c>
      <c r="I948" s="3" t="s">
        <v>61</v>
      </c>
      <c r="J948" s="3" t="s">
        <v>62</v>
      </c>
      <c r="K948" s="2" t="s">
        <v>10547</v>
      </c>
      <c r="L948" s="2" t="s">
        <v>10585</v>
      </c>
      <c r="M948" s="3" t="s">
        <v>942</v>
      </c>
      <c r="O948" s="3" t="s">
        <v>114</v>
      </c>
      <c r="P948" s="3" t="s">
        <v>619</v>
      </c>
      <c r="R948" s="3" t="s">
        <v>68</v>
      </c>
      <c r="S948" s="4">
        <v>2</v>
      </c>
      <c r="T948" s="4">
        <v>2</v>
      </c>
      <c r="U948" s="5" t="s">
        <v>10586</v>
      </c>
      <c r="V948" s="5" t="s">
        <v>10586</v>
      </c>
      <c r="W948" s="5" t="s">
        <v>7288</v>
      </c>
      <c r="X948" s="5" t="s">
        <v>7288</v>
      </c>
      <c r="Y948" s="4">
        <v>436</v>
      </c>
      <c r="Z948" s="4">
        <v>416</v>
      </c>
      <c r="AA948" s="4">
        <v>581</v>
      </c>
      <c r="AB948" s="4">
        <v>6</v>
      </c>
      <c r="AC948" s="4">
        <v>7</v>
      </c>
      <c r="AD948" s="4">
        <v>16</v>
      </c>
      <c r="AE948" s="4">
        <v>22</v>
      </c>
      <c r="AF948" s="4">
        <v>4</v>
      </c>
      <c r="AG948" s="4">
        <v>8</v>
      </c>
      <c r="AH948" s="4">
        <v>2</v>
      </c>
      <c r="AI948" s="4">
        <v>4</v>
      </c>
      <c r="AJ948" s="4">
        <v>10</v>
      </c>
      <c r="AK948" s="4">
        <v>10</v>
      </c>
      <c r="AL948" s="4">
        <v>4</v>
      </c>
      <c r="AM948" s="4">
        <v>5</v>
      </c>
      <c r="AN948" s="4">
        <v>0</v>
      </c>
      <c r="AO948" s="4">
        <v>0</v>
      </c>
      <c r="AP948" s="3" t="s">
        <v>59</v>
      </c>
      <c r="AQ948" s="3" t="s">
        <v>61</v>
      </c>
      <c r="AR948" s="6" t="str">
        <f>HYPERLINK("http://catalog.hathitrust.org/Record/000493493","HathiTrust Record")</f>
        <v>HathiTrust Record</v>
      </c>
      <c r="AS948" s="6" t="str">
        <f>HYPERLINK("https://creighton-primo.hosted.exlibrisgroup.com/primo-explore/search?tab=default_tab&amp;search_scope=EVERYTHING&amp;vid=01CRU&amp;lang=en_US&amp;offset=0&amp;query=any,contains,991003672759702656","Catalog Record")</f>
        <v>Catalog Record</v>
      </c>
      <c r="AT948" s="6" t="str">
        <f>HYPERLINK("http://www.worldcat.org/oclc/28592685","WorldCat Record")</f>
        <v>WorldCat Record</v>
      </c>
      <c r="AU948" s="3" t="s">
        <v>10587</v>
      </c>
      <c r="AV948" s="3" t="s">
        <v>10588</v>
      </c>
      <c r="AW948" s="3" t="s">
        <v>10589</v>
      </c>
      <c r="AX948" s="3" t="s">
        <v>10589</v>
      </c>
      <c r="AY948" s="3" t="s">
        <v>10590</v>
      </c>
      <c r="AZ948" s="3" t="s">
        <v>75</v>
      </c>
      <c r="BC948" s="3" t="s">
        <v>10591</v>
      </c>
      <c r="BD948" s="3" t="s">
        <v>10592</v>
      </c>
    </row>
    <row r="949" spans="1:56" ht="44.25" customHeight="1" x14ac:dyDescent="0.25">
      <c r="A949" s="7" t="s">
        <v>61</v>
      </c>
      <c r="B949" s="2" t="s">
        <v>10593</v>
      </c>
      <c r="C949" s="2" t="s">
        <v>10594</v>
      </c>
      <c r="D949" s="2" t="s">
        <v>10595</v>
      </c>
      <c r="F949" s="3" t="s">
        <v>61</v>
      </c>
      <c r="G949" s="3" t="s">
        <v>60</v>
      </c>
      <c r="H949" s="3" t="s">
        <v>61</v>
      </c>
      <c r="I949" s="3" t="s">
        <v>61</v>
      </c>
      <c r="J949" s="3" t="s">
        <v>62</v>
      </c>
      <c r="K949" s="2" t="s">
        <v>10596</v>
      </c>
      <c r="L949" s="2" t="s">
        <v>10597</v>
      </c>
      <c r="M949" s="3" t="s">
        <v>407</v>
      </c>
      <c r="O949" s="3" t="s">
        <v>114</v>
      </c>
      <c r="P949" s="3" t="s">
        <v>9803</v>
      </c>
      <c r="R949" s="3" t="s">
        <v>68</v>
      </c>
      <c r="S949" s="4">
        <v>2</v>
      </c>
      <c r="T949" s="4">
        <v>2</v>
      </c>
      <c r="U949" s="5" t="s">
        <v>10598</v>
      </c>
      <c r="V949" s="5" t="s">
        <v>10598</v>
      </c>
      <c r="W949" s="5" t="s">
        <v>10599</v>
      </c>
      <c r="X949" s="5" t="s">
        <v>10599</v>
      </c>
      <c r="Y949" s="4">
        <v>181</v>
      </c>
      <c r="Z949" s="4">
        <v>65</v>
      </c>
      <c r="AA949" s="4">
        <v>76</v>
      </c>
      <c r="AB949" s="4">
        <v>2</v>
      </c>
      <c r="AC949" s="4">
        <v>2</v>
      </c>
      <c r="AD949" s="4">
        <v>2</v>
      </c>
      <c r="AE949" s="4">
        <v>2</v>
      </c>
      <c r="AF949" s="4">
        <v>1</v>
      </c>
      <c r="AG949" s="4">
        <v>1</v>
      </c>
      <c r="AH949" s="4">
        <v>0</v>
      </c>
      <c r="AI949" s="4">
        <v>0</v>
      </c>
      <c r="AJ949" s="4">
        <v>1</v>
      </c>
      <c r="AK949" s="4">
        <v>1</v>
      </c>
      <c r="AL949" s="4">
        <v>1</v>
      </c>
      <c r="AM949" s="4">
        <v>1</v>
      </c>
      <c r="AN949" s="4">
        <v>0</v>
      </c>
      <c r="AO949" s="4">
        <v>0</v>
      </c>
      <c r="AP949" s="3" t="s">
        <v>61</v>
      </c>
      <c r="AQ949" s="3" t="s">
        <v>59</v>
      </c>
      <c r="AR949" s="6" t="str">
        <f>HYPERLINK("http://catalog.hathitrust.org/Record/003077451","HathiTrust Record")</f>
        <v>HathiTrust Record</v>
      </c>
      <c r="AS949" s="6" t="str">
        <f>HYPERLINK("https://creighton-primo.hosted.exlibrisgroup.com/primo-explore/search?tab=default_tab&amp;search_scope=EVERYTHING&amp;vid=01CRU&amp;lang=en_US&amp;offset=0&amp;query=any,contains,991002438229702656","Catalog Record")</f>
        <v>Catalog Record</v>
      </c>
      <c r="AT949" s="6" t="str">
        <f>HYPERLINK("http://www.worldcat.org/oclc/31779684","WorldCat Record")</f>
        <v>WorldCat Record</v>
      </c>
      <c r="AU949" s="3" t="s">
        <v>10600</v>
      </c>
      <c r="AV949" s="3" t="s">
        <v>10601</v>
      </c>
      <c r="AW949" s="3" t="s">
        <v>10602</v>
      </c>
      <c r="AX949" s="3" t="s">
        <v>10602</v>
      </c>
      <c r="AY949" s="3" t="s">
        <v>10603</v>
      </c>
      <c r="AZ949" s="3" t="s">
        <v>75</v>
      </c>
      <c r="BB949" s="3" t="s">
        <v>10604</v>
      </c>
      <c r="BC949" s="3" t="s">
        <v>10605</v>
      </c>
      <c r="BD949" s="3" t="s">
        <v>10606</v>
      </c>
    </row>
    <row r="950" spans="1:56" ht="44.25" customHeight="1" x14ac:dyDescent="0.25">
      <c r="A950" s="7" t="s">
        <v>61</v>
      </c>
      <c r="B950" s="2" t="s">
        <v>10607</v>
      </c>
      <c r="C950" s="2" t="s">
        <v>10608</v>
      </c>
      <c r="D950" s="2" t="s">
        <v>10609</v>
      </c>
      <c r="F950" s="3" t="s">
        <v>61</v>
      </c>
      <c r="G950" s="3" t="s">
        <v>60</v>
      </c>
      <c r="H950" s="3" t="s">
        <v>61</v>
      </c>
      <c r="I950" s="3" t="s">
        <v>61</v>
      </c>
      <c r="J950" s="3" t="s">
        <v>62</v>
      </c>
      <c r="K950" s="2" t="s">
        <v>10610</v>
      </c>
      <c r="L950" s="2" t="s">
        <v>10611</v>
      </c>
      <c r="M950" s="3" t="s">
        <v>407</v>
      </c>
      <c r="O950" s="3" t="s">
        <v>114</v>
      </c>
      <c r="P950" s="3" t="s">
        <v>9803</v>
      </c>
      <c r="R950" s="3" t="s">
        <v>68</v>
      </c>
      <c r="S950" s="4">
        <v>1</v>
      </c>
      <c r="T950" s="4">
        <v>1</v>
      </c>
      <c r="U950" s="5" t="s">
        <v>146</v>
      </c>
      <c r="V950" s="5" t="s">
        <v>146</v>
      </c>
      <c r="W950" s="5" t="s">
        <v>10612</v>
      </c>
      <c r="X950" s="5" t="s">
        <v>10612</v>
      </c>
      <c r="Y950" s="4">
        <v>61</v>
      </c>
      <c r="Z950" s="4">
        <v>37</v>
      </c>
      <c r="AA950" s="4">
        <v>91</v>
      </c>
      <c r="AB950" s="4">
        <v>1</v>
      </c>
      <c r="AC950" s="4">
        <v>1</v>
      </c>
      <c r="AD950" s="4">
        <v>0</v>
      </c>
      <c r="AE950" s="4">
        <v>1</v>
      </c>
      <c r="AF950" s="4">
        <v>0</v>
      </c>
      <c r="AG950" s="4">
        <v>0</v>
      </c>
      <c r="AH950" s="4">
        <v>0</v>
      </c>
      <c r="AI950" s="4">
        <v>1</v>
      </c>
      <c r="AJ950" s="4">
        <v>0</v>
      </c>
      <c r="AK950" s="4">
        <v>1</v>
      </c>
      <c r="AL950" s="4">
        <v>0</v>
      </c>
      <c r="AM950" s="4">
        <v>0</v>
      </c>
      <c r="AN950" s="4">
        <v>0</v>
      </c>
      <c r="AO950" s="4">
        <v>0</v>
      </c>
      <c r="AP950" s="3" t="s">
        <v>61</v>
      </c>
      <c r="AQ950" s="3" t="s">
        <v>59</v>
      </c>
      <c r="AR950" s="6" t="str">
        <f>HYPERLINK("http://catalog.hathitrust.org/Record/002911754","HathiTrust Record")</f>
        <v>HathiTrust Record</v>
      </c>
      <c r="AS950" s="6" t="str">
        <f>HYPERLINK("https://creighton-primo.hosted.exlibrisgroup.com/primo-explore/search?tab=default_tab&amp;search_scope=EVERYTHING&amp;vid=01CRU&amp;lang=en_US&amp;offset=0&amp;query=any,contains,991002176079702656","Catalog Record")</f>
        <v>Catalog Record</v>
      </c>
      <c r="AT950" s="6" t="str">
        <f>HYPERLINK("http://www.worldcat.org/oclc/28020047","WorldCat Record")</f>
        <v>WorldCat Record</v>
      </c>
      <c r="AU950" s="3" t="s">
        <v>10613</v>
      </c>
      <c r="AV950" s="3" t="s">
        <v>10614</v>
      </c>
      <c r="AW950" s="3" t="s">
        <v>10615</v>
      </c>
      <c r="AX950" s="3" t="s">
        <v>10615</v>
      </c>
      <c r="AY950" s="3" t="s">
        <v>10616</v>
      </c>
      <c r="AZ950" s="3" t="s">
        <v>75</v>
      </c>
      <c r="BB950" s="3" t="s">
        <v>10617</v>
      </c>
      <c r="BC950" s="3" t="s">
        <v>10618</v>
      </c>
      <c r="BD950" s="3" t="s">
        <v>10619</v>
      </c>
    </row>
    <row r="951" spans="1:56" ht="44.25" customHeight="1" x14ac:dyDescent="0.25">
      <c r="A951" s="7" t="s">
        <v>61</v>
      </c>
      <c r="B951" s="2" t="s">
        <v>10620</v>
      </c>
      <c r="C951" s="2" t="s">
        <v>10621</v>
      </c>
      <c r="D951" s="2" t="s">
        <v>10622</v>
      </c>
      <c r="F951" s="3" t="s">
        <v>61</v>
      </c>
      <c r="G951" s="3" t="s">
        <v>60</v>
      </c>
      <c r="H951" s="3" t="s">
        <v>61</v>
      </c>
      <c r="I951" s="3" t="s">
        <v>61</v>
      </c>
      <c r="J951" s="3" t="s">
        <v>62</v>
      </c>
      <c r="L951" s="2" t="s">
        <v>10623</v>
      </c>
      <c r="M951" s="3" t="s">
        <v>436</v>
      </c>
      <c r="O951" s="3" t="s">
        <v>114</v>
      </c>
      <c r="P951" s="3" t="s">
        <v>9803</v>
      </c>
      <c r="R951" s="3" t="s">
        <v>68</v>
      </c>
      <c r="S951" s="4">
        <v>4</v>
      </c>
      <c r="T951" s="4">
        <v>4</v>
      </c>
      <c r="U951" s="5" t="s">
        <v>5767</v>
      </c>
      <c r="V951" s="5" t="s">
        <v>5767</v>
      </c>
      <c r="W951" s="5" t="s">
        <v>10624</v>
      </c>
      <c r="X951" s="5" t="s">
        <v>10624</v>
      </c>
      <c r="Y951" s="4">
        <v>354</v>
      </c>
      <c r="Z951" s="4">
        <v>221</v>
      </c>
      <c r="AA951" s="4">
        <v>225</v>
      </c>
      <c r="AB951" s="4">
        <v>2</v>
      </c>
      <c r="AC951" s="4">
        <v>2</v>
      </c>
      <c r="AD951" s="4">
        <v>13</v>
      </c>
      <c r="AE951" s="4">
        <v>13</v>
      </c>
      <c r="AF951" s="4">
        <v>4</v>
      </c>
      <c r="AG951" s="4">
        <v>4</v>
      </c>
      <c r="AH951" s="4">
        <v>5</v>
      </c>
      <c r="AI951" s="4">
        <v>5</v>
      </c>
      <c r="AJ951" s="4">
        <v>7</v>
      </c>
      <c r="AK951" s="4">
        <v>7</v>
      </c>
      <c r="AL951" s="4">
        <v>1</v>
      </c>
      <c r="AM951" s="4">
        <v>1</v>
      </c>
      <c r="AN951" s="4">
        <v>0</v>
      </c>
      <c r="AO951" s="4">
        <v>0</v>
      </c>
      <c r="AP951" s="3" t="s">
        <v>61</v>
      </c>
      <c r="AQ951" s="3" t="s">
        <v>59</v>
      </c>
      <c r="AR951" s="6" t="str">
        <f>HYPERLINK("http://catalog.hathitrust.org/Record/002467838","HathiTrust Record")</f>
        <v>HathiTrust Record</v>
      </c>
      <c r="AS951" s="6" t="str">
        <f>HYPERLINK("https://creighton-primo.hosted.exlibrisgroup.com/primo-explore/search?tab=default_tab&amp;search_scope=EVERYTHING&amp;vid=01CRU&amp;lang=en_US&amp;offset=0&amp;query=any,contains,991003326199702656","Catalog Record")</f>
        <v>Catalog Record</v>
      </c>
      <c r="AT951" s="6" t="str">
        <f>HYPERLINK("http://www.worldcat.org/oclc/28291841","WorldCat Record")</f>
        <v>WorldCat Record</v>
      </c>
      <c r="AU951" s="3" t="s">
        <v>10625</v>
      </c>
      <c r="AV951" s="3" t="s">
        <v>10626</v>
      </c>
      <c r="AW951" s="3" t="s">
        <v>10627</v>
      </c>
      <c r="AX951" s="3" t="s">
        <v>10627</v>
      </c>
      <c r="AY951" s="3" t="s">
        <v>10628</v>
      </c>
      <c r="AZ951" s="3" t="s">
        <v>75</v>
      </c>
      <c r="BB951" s="3" t="s">
        <v>10629</v>
      </c>
      <c r="BC951" s="3" t="s">
        <v>10630</v>
      </c>
      <c r="BD951" s="3" t="s">
        <v>10631</v>
      </c>
    </row>
    <row r="952" spans="1:56" ht="44.25" customHeight="1" x14ac:dyDescent="0.25">
      <c r="A952" s="7" t="s">
        <v>61</v>
      </c>
      <c r="B952" s="2" t="s">
        <v>10632</v>
      </c>
      <c r="C952" s="2" t="s">
        <v>10633</v>
      </c>
      <c r="D952" s="2" t="s">
        <v>10634</v>
      </c>
      <c r="F952" s="3" t="s">
        <v>61</v>
      </c>
      <c r="G952" s="3" t="s">
        <v>60</v>
      </c>
      <c r="H952" s="3" t="s">
        <v>61</v>
      </c>
      <c r="I952" s="3" t="s">
        <v>61</v>
      </c>
      <c r="J952" s="3" t="s">
        <v>62</v>
      </c>
      <c r="K952" s="2" t="s">
        <v>10635</v>
      </c>
      <c r="L952" s="2" t="s">
        <v>10636</v>
      </c>
      <c r="M952" s="3" t="s">
        <v>1074</v>
      </c>
      <c r="O952" s="3" t="s">
        <v>114</v>
      </c>
      <c r="P952" s="3" t="s">
        <v>235</v>
      </c>
      <c r="R952" s="3" t="s">
        <v>68</v>
      </c>
      <c r="S952" s="4">
        <v>8</v>
      </c>
      <c r="T952" s="4">
        <v>8</v>
      </c>
      <c r="U952" s="5" t="s">
        <v>8464</v>
      </c>
      <c r="V952" s="5" t="s">
        <v>8464</v>
      </c>
      <c r="W952" s="5" t="s">
        <v>10637</v>
      </c>
      <c r="X952" s="5" t="s">
        <v>10637</v>
      </c>
      <c r="Y952" s="4">
        <v>976</v>
      </c>
      <c r="Z952" s="4">
        <v>927</v>
      </c>
      <c r="AA952" s="4">
        <v>942</v>
      </c>
      <c r="AB952" s="4">
        <v>6</v>
      </c>
      <c r="AC952" s="4">
        <v>6</v>
      </c>
      <c r="AD952" s="4">
        <v>24</v>
      </c>
      <c r="AE952" s="4">
        <v>24</v>
      </c>
      <c r="AF952" s="4">
        <v>12</v>
      </c>
      <c r="AG952" s="4">
        <v>12</v>
      </c>
      <c r="AH952" s="4">
        <v>6</v>
      </c>
      <c r="AI952" s="4">
        <v>6</v>
      </c>
      <c r="AJ952" s="4">
        <v>11</v>
      </c>
      <c r="AK952" s="4">
        <v>11</v>
      </c>
      <c r="AL952" s="4">
        <v>2</v>
      </c>
      <c r="AM952" s="4">
        <v>2</v>
      </c>
      <c r="AN952" s="4">
        <v>0</v>
      </c>
      <c r="AO952" s="4">
        <v>0</v>
      </c>
      <c r="AP952" s="3" t="s">
        <v>61</v>
      </c>
      <c r="AQ952" s="3" t="s">
        <v>59</v>
      </c>
      <c r="AR952" s="6" t="str">
        <f>HYPERLINK("http://catalog.hathitrust.org/Record/000567247","HathiTrust Record")</f>
        <v>HathiTrust Record</v>
      </c>
      <c r="AS952" s="6" t="str">
        <f>HYPERLINK("https://creighton-primo.hosted.exlibrisgroup.com/primo-explore/search?tab=default_tab&amp;search_scope=EVERYTHING&amp;vid=01CRU&amp;lang=en_US&amp;offset=0&amp;query=any,contains,991000551359702656","Catalog Record")</f>
        <v>Catalog Record</v>
      </c>
      <c r="AT952" s="6" t="str">
        <f>HYPERLINK("http://www.worldcat.org/oclc/11533372","WorldCat Record")</f>
        <v>WorldCat Record</v>
      </c>
      <c r="AU952" s="3" t="s">
        <v>10638</v>
      </c>
      <c r="AV952" s="3" t="s">
        <v>10639</v>
      </c>
      <c r="AW952" s="3" t="s">
        <v>10640</v>
      </c>
      <c r="AX952" s="3" t="s">
        <v>10640</v>
      </c>
      <c r="AY952" s="3" t="s">
        <v>10641</v>
      </c>
      <c r="AZ952" s="3" t="s">
        <v>75</v>
      </c>
      <c r="BB952" s="3" t="s">
        <v>10642</v>
      </c>
      <c r="BC952" s="3" t="s">
        <v>10643</v>
      </c>
      <c r="BD952" s="3" t="s">
        <v>10644</v>
      </c>
    </row>
    <row r="953" spans="1:56" ht="44.25" customHeight="1" x14ac:dyDescent="0.25">
      <c r="A953" s="7" t="s">
        <v>61</v>
      </c>
      <c r="B953" s="2" t="s">
        <v>10645</v>
      </c>
      <c r="C953" s="2" t="s">
        <v>10646</v>
      </c>
      <c r="D953" s="2" t="s">
        <v>10647</v>
      </c>
      <c r="F953" s="3" t="s">
        <v>61</v>
      </c>
      <c r="G953" s="3" t="s">
        <v>60</v>
      </c>
      <c r="H953" s="3" t="s">
        <v>61</v>
      </c>
      <c r="I953" s="3" t="s">
        <v>61</v>
      </c>
      <c r="J953" s="3" t="s">
        <v>62</v>
      </c>
      <c r="K953" s="2" t="s">
        <v>10648</v>
      </c>
      <c r="L953" s="2" t="s">
        <v>10649</v>
      </c>
      <c r="M953" s="3" t="s">
        <v>942</v>
      </c>
      <c r="O953" s="3" t="s">
        <v>114</v>
      </c>
      <c r="P953" s="3" t="s">
        <v>235</v>
      </c>
      <c r="R953" s="3" t="s">
        <v>68</v>
      </c>
      <c r="S953" s="4">
        <v>4</v>
      </c>
      <c r="T953" s="4">
        <v>4</v>
      </c>
      <c r="U953" s="5" t="s">
        <v>10650</v>
      </c>
      <c r="V953" s="5" t="s">
        <v>10650</v>
      </c>
      <c r="W953" s="5" t="s">
        <v>10401</v>
      </c>
      <c r="X953" s="5" t="s">
        <v>10401</v>
      </c>
      <c r="Y953" s="4">
        <v>825</v>
      </c>
      <c r="Z953" s="4">
        <v>767</v>
      </c>
      <c r="AA953" s="4">
        <v>889</v>
      </c>
      <c r="AB953" s="4">
        <v>8</v>
      </c>
      <c r="AC953" s="4">
        <v>8</v>
      </c>
      <c r="AD953" s="4">
        <v>36</v>
      </c>
      <c r="AE953" s="4">
        <v>38</v>
      </c>
      <c r="AF953" s="4">
        <v>13</v>
      </c>
      <c r="AG953" s="4">
        <v>14</v>
      </c>
      <c r="AH953" s="4">
        <v>7</v>
      </c>
      <c r="AI953" s="4">
        <v>8</v>
      </c>
      <c r="AJ953" s="4">
        <v>14</v>
      </c>
      <c r="AK953" s="4">
        <v>16</v>
      </c>
      <c r="AL953" s="4">
        <v>7</v>
      </c>
      <c r="AM953" s="4">
        <v>7</v>
      </c>
      <c r="AN953" s="4">
        <v>1</v>
      </c>
      <c r="AO953" s="4">
        <v>1</v>
      </c>
      <c r="AP953" s="3" t="s">
        <v>61</v>
      </c>
      <c r="AQ953" s="3" t="s">
        <v>59</v>
      </c>
      <c r="AR953" s="6" t="str">
        <f>HYPERLINK("http://catalog.hathitrust.org/Record/000493515","HathiTrust Record")</f>
        <v>HathiTrust Record</v>
      </c>
      <c r="AS953" s="6" t="str">
        <f>HYPERLINK("https://creighton-primo.hosted.exlibrisgroup.com/primo-explore/search?tab=default_tab&amp;search_scope=EVERYTHING&amp;vid=01CRU&amp;lang=en_US&amp;offset=0&amp;query=any,contains,991002676319702656","Catalog Record")</f>
        <v>Catalog Record</v>
      </c>
      <c r="AT953" s="6" t="str">
        <f>HYPERLINK("http://www.worldcat.org/oclc/397109","WorldCat Record")</f>
        <v>WorldCat Record</v>
      </c>
      <c r="AU953" s="3" t="s">
        <v>10651</v>
      </c>
      <c r="AV953" s="3" t="s">
        <v>10652</v>
      </c>
      <c r="AW953" s="3" t="s">
        <v>10653</v>
      </c>
      <c r="AX953" s="3" t="s">
        <v>10653</v>
      </c>
      <c r="AY953" s="3" t="s">
        <v>10654</v>
      </c>
      <c r="AZ953" s="3" t="s">
        <v>75</v>
      </c>
      <c r="BC953" s="3" t="s">
        <v>10655</v>
      </c>
      <c r="BD953" s="3" t="s">
        <v>10656</v>
      </c>
    </row>
    <row r="954" spans="1:56" ht="44.25" customHeight="1" x14ac:dyDescent="0.25">
      <c r="A954" s="7" t="s">
        <v>61</v>
      </c>
      <c r="B954" s="2" t="s">
        <v>10657</v>
      </c>
      <c r="C954" s="2" t="s">
        <v>10658</v>
      </c>
      <c r="D954" s="2" t="s">
        <v>10659</v>
      </c>
      <c r="F954" s="3" t="s">
        <v>61</v>
      </c>
      <c r="G954" s="3" t="s">
        <v>60</v>
      </c>
      <c r="H954" s="3" t="s">
        <v>61</v>
      </c>
      <c r="I954" s="3" t="s">
        <v>61</v>
      </c>
      <c r="J954" s="3" t="s">
        <v>62</v>
      </c>
      <c r="K954" s="2" t="s">
        <v>10660</v>
      </c>
      <c r="L954" s="2" t="s">
        <v>10661</v>
      </c>
      <c r="M954" s="3" t="s">
        <v>249</v>
      </c>
      <c r="O954" s="3" t="s">
        <v>114</v>
      </c>
      <c r="P954" s="3" t="s">
        <v>235</v>
      </c>
      <c r="R954" s="3" t="s">
        <v>68</v>
      </c>
      <c r="S954" s="4">
        <v>6</v>
      </c>
      <c r="T954" s="4">
        <v>6</v>
      </c>
      <c r="U954" s="5" t="s">
        <v>10662</v>
      </c>
      <c r="V954" s="5" t="s">
        <v>10662</v>
      </c>
      <c r="W954" s="5" t="s">
        <v>8822</v>
      </c>
      <c r="X954" s="5" t="s">
        <v>8822</v>
      </c>
      <c r="Y954" s="4">
        <v>1014</v>
      </c>
      <c r="Z954" s="4">
        <v>924</v>
      </c>
      <c r="AA954" s="4">
        <v>1014</v>
      </c>
      <c r="AB954" s="4">
        <v>7</v>
      </c>
      <c r="AC954" s="4">
        <v>8</v>
      </c>
      <c r="AD954" s="4">
        <v>38</v>
      </c>
      <c r="AE954" s="4">
        <v>40</v>
      </c>
      <c r="AF954" s="4">
        <v>15</v>
      </c>
      <c r="AG954" s="4">
        <v>16</v>
      </c>
      <c r="AH954" s="4">
        <v>8</v>
      </c>
      <c r="AI954" s="4">
        <v>8</v>
      </c>
      <c r="AJ954" s="4">
        <v>21</v>
      </c>
      <c r="AK954" s="4">
        <v>21</v>
      </c>
      <c r="AL954" s="4">
        <v>6</v>
      </c>
      <c r="AM954" s="4">
        <v>7</v>
      </c>
      <c r="AN954" s="4">
        <v>0</v>
      </c>
      <c r="AO954" s="4">
        <v>0</v>
      </c>
      <c r="AP954" s="3" t="s">
        <v>61</v>
      </c>
      <c r="AQ954" s="3" t="s">
        <v>59</v>
      </c>
      <c r="AR954" s="6" t="str">
        <f>HYPERLINK("http://catalog.hathitrust.org/Record/002753231","HathiTrust Record")</f>
        <v>HathiTrust Record</v>
      </c>
      <c r="AS954" s="6" t="str">
        <f>HYPERLINK("https://creighton-primo.hosted.exlibrisgroup.com/primo-explore/search?tab=default_tab&amp;search_scope=EVERYTHING&amp;vid=01CRU&amp;lang=en_US&amp;offset=0&amp;query=any,contains,991002174649702656","Catalog Record")</f>
        <v>Catalog Record</v>
      </c>
      <c r="AT954" s="6" t="str">
        <f>HYPERLINK("http://www.worldcat.org/oclc/27976721","WorldCat Record")</f>
        <v>WorldCat Record</v>
      </c>
      <c r="AU954" s="3" t="s">
        <v>10663</v>
      </c>
      <c r="AV954" s="3" t="s">
        <v>10664</v>
      </c>
      <c r="AW954" s="3" t="s">
        <v>10665</v>
      </c>
      <c r="AX954" s="3" t="s">
        <v>10665</v>
      </c>
      <c r="AY954" s="3" t="s">
        <v>10666</v>
      </c>
      <c r="AZ954" s="3" t="s">
        <v>75</v>
      </c>
      <c r="BB954" s="3" t="s">
        <v>10667</v>
      </c>
      <c r="BC954" s="3" t="s">
        <v>10668</v>
      </c>
      <c r="BD954" s="3" t="s">
        <v>10669</v>
      </c>
    </row>
    <row r="955" spans="1:56" ht="44.25" customHeight="1" x14ac:dyDescent="0.25">
      <c r="A955" s="7" t="s">
        <v>61</v>
      </c>
      <c r="B955" s="2" t="s">
        <v>10670</v>
      </c>
      <c r="C955" s="2" t="s">
        <v>10671</v>
      </c>
      <c r="D955" s="2" t="s">
        <v>10672</v>
      </c>
      <c r="F955" s="3" t="s">
        <v>61</v>
      </c>
      <c r="G955" s="3" t="s">
        <v>60</v>
      </c>
      <c r="H955" s="3" t="s">
        <v>61</v>
      </c>
      <c r="I955" s="3" t="s">
        <v>61</v>
      </c>
      <c r="J955" s="3" t="s">
        <v>62</v>
      </c>
      <c r="K955" s="2" t="s">
        <v>10673</v>
      </c>
      <c r="L955" s="2" t="s">
        <v>10674</v>
      </c>
      <c r="M955" s="3" t="s">
        <v>379</v>
      </c>
      <c r="N955" s="2" t="s">
        <v>634</v>
      </c>
      <c r="O955" s="3" t="s">
        <v>114</v>
      </c>
      <c r="P955" s="3" t="s">
        <v>115</v>
      </c>
      <c r="R955" s="3" t="s">
        <v>68</v>
      </c>
      <c r="S955" s="4">
        <v>2</v>
      </c>
      <c r="T955" s="4">
        <v>2</v>
      </c>
      <c r="U955" s="5" t="s">
        <v>8064</v>
      </c>
      <c r="V955" s="5" t="s">
        <v>8064</v>
      </c>
      <c r="W955" s="5" t="s">
        <v>6353</v>
      </c>
      <c r="X955" s="5" t="s">
        <v>6353</v>
      </c>
      <c r="Y955" s="4">
        <v>1165</v>
      </c>
      <c r="Z955" s="4">
        <v>1113</v>
      </c>
      <c r="AA955" s="4">
        <v>1207</v>
      </c>
      <c r="AB955" s="4">
        <v>7</v>
      </c>
      <c r="AC955" s="4">
        <v>7</v>
      </c>
      <c r="AD955" s="4">
        <v>41</v>
      </c>
      <c r="AE955" s="4">
        <v>42</v>
      </c>
      <c r="AF955" s="4">
        <v>17</v>
      </c>
      <c r="AG955" s="4">
        <v>17</v>
      </c>
      <c r="AH955" s="4">
        <v>7</v>
      </c>
      <c r="AI955" s="4">
        <v>7</v>
      </c>
      <c r="AJ955" s="4">
        <v>17</v>
      </c>
      <c r="AK955" s="4">
        <v>18</v>
      </c>
      <c r="AL955" s="4">
        <v>6</v>
      </c>
      <c r="AM955" s="4">
        <v>6</v>
      </c>
      <c r="AN955" s="4">
        <v>0</v>
      </c>
      <c r="AO955" s="4">
        <v>0</v>
      </c>
      <c r="AP955" s="3" t="s">
        <v>61</v>
      </c>
      <c r="AQ955" s="3" t="s">
        <v>61</v>
      </c>
      <c r="AS955" s="6" t="str">
        <f>HYPERLINK("https://creighton-primo.hosted.exlibrisgroup.com/primo-explore/search?tab=default_tab&amp;search_scope=EVERYTHING&amp;vid=01CRU&amp;lang=en_US&amp;offset=0&amp;query=any,contains,991003258449702656","Catalog Record")</f>
        <v>Catalog Record</v>
      </c>
      <c r="AT955" s="6" t="str">
        <f>HYPERLINK("http://www.worldcat.org/oclc/42027419","WorldCat Record")</f>
        <v>WorldCat Record</v>
      </c>
      <c r="AU955" s="3" t="s">
        <v>10675</v>
      </c>
      <c r="AV955" s="3" t="s">
        <v>10676</v>
      </c>
      <c r="AW955" s="3" t="s">
        <v>10677</v>
      </c>
      <c r="AX955" s="3" t="s">
        <v>10677</v>
      </c>
      <c r="AY955" s="3" t="s">
        <v>10678</v>
      </c>
      <c r="AZ955" s="3" t="s">
        <v>75</v>
      </c>
      <c r="BB955" s="3" t="s">
        <v>10679</v>
      </c>
      <c r="BC955" s="3" t="s">
        <v>10680</v>
      </c>
      <c r="BD955" s="3" t="s">
        <v>10681</v>
      </c>
    </row>
    <row r="956" spans="1:56" ht="44.25" customHeight="1" x14ac:dyDescent="0.25">
      <c r="A956" s="7" t="s">
        <v>61</v>
      </c>
      <c r="B956" s="2" t="s">
        <v>10682</v>
      </c>
      <c r="C956" s="2" t="s">
        <v>10683</v>
      </c>
      <c r="D956" s="2" t="s">
        <v>10684</v>
      </c>
      <c r="F956" s="3" t="s">
        <v>61</v>
      </c>
      <c r="G956" s="3" t="s">
        <v>60</v>
      </c>
      <c r="H956" s="3" t="s">
        <v>61</v>
      </c>
      <c r="I956" s="3" t="s">
        <v>61</v>
      </c>
      <c r="J956" s="3" t="s">
        <v>62</v>
      </c>
      <c r="K956" s="2" t="s">
        <v>10685</v>
      </c>
      <c r="L956" s="2" t="s">
        <v>10686</v>
      </c>
      <c r="M956" s="3" t="s">
        <v>1758</v>
      </c>
      <c r="O956" s="3" t="s">
        <v>114</v>
      </c>
      <c r="P956" s="3" t="s">
        <v>206</v>
      </c>
      <c r="R956" s="3" t="s">
        <v>68</v>
      </c>
      <c r="S956" s="4">
        <v>1</v>
      </c>
      <c r="T956" s="4">
        <v>1</v>
      </c>
      <c r="U956" s="5" t="s">
        <v>9777</v>
      </c>
      <c r="V956" s="5" t="s">
        <v>9777</v>
      </c>
      <c r="W956" s="5" t="s">
        <v>10114</v>
      </c>
      <c r="X956" s="5" t="s">
        <v>10114</v>
      </c>
      <c r="Y956" s="4">
        <v>461</v>
      </c>
      <c r="Z956" s="4">
        <v>395</v>
      </c>
      <c r="AA956" s="4">
        <v>398</v>
      </c>
      <c r="AB956" s="4">
        <v>3</v>
      </c>
      <c r="AC956" s="4">
        <v>3</v>
      </c>
      <c r="AD956" s="4">
        <v>16</v>
      </c>
      <c r="AE956" s="4">
        <v>16</v>
      </c>
      <c r="AF956" s="4">
        <v>6</v>
      </c>
      <c r="AG956" s="4">
        <v>6</v>
      </c>
      <c r="AH956" s="4">
        <v>4</v>
      </c>
      <c r="AI956" s="4">
        <v>4</v>
      </c>
      <c r="AJ956" s="4">
        <v>10</v>
      </c>
      <c r="AK956" s="4">
        <v>10</v>
      </c>
      <c r="AL956" s="4">
        <v>2</v>
      </c>
      <c r="AM956" s="4">
        <v>2</v>
      </c>
      <c r="AN956" s="4">
        <v>0</v>
      </c>
      <c r="AO956" s="4">
        <v>0</v>
      </c>
      <c r="AP956" s="3" t="s">
        <v>61</v>
      </c>
      <c r="AQ956" s="3" t="s">
        <v>59</v>
      </c>
      <c r="AR956" s="6" t="str">
        <f>HYPERLINK("http://catalog.hathitrust.org/Record/000083664","HathiTrust Record")</f>
        <v>HathiTrust Record</v>
      </c>
      <c r="AS956" s="6" t="str">
        <f>HYPERLINK("https://creighton-primo.hosted.exlibrisgroup.com/primo-explore/search?tab=default_tab&amp;search_scope=EVERYTHING&amp;vid=01CRU&amp;lang=en_US&amp;offset=0&amp;query=any,contains,991004965049702656","Catalog Record")</f>
        <v>Catalog Record</v>
      </c>
      <c r="AT956" s="6" t="str">
        <f>HYPERLINK("http://www.worldcat.org/oclc/6331349","WorldCat Record")</f>
        <v>WorldCat Record</v>
      </c>
      <c r="AU956" s="3" t="s">
        <v>10687</v>
      </c>
      <c r="AV956" s="3" t="s">
        <v>10688</v>
      </c>
      <c r="AW956" s="3" t="s">
        <v>10689</v>
      </c>
      <c r="AX956" s="3" t="s">
        <v>10689</v>
      </c>
      <c r="AY956" s="3" t="s">
        <v>10690</v>
      </c>
      <c r="AZ956" s="3" t="s">
        <v>75</v>
      </c>
      <c r="BB956" s="3" t="s">
        <v>10691</v>
      </c>
      <c r="BC956" s="3" t="s">
        <v>10692</v>
      </c>
      <c r="BD956" s="3" t="s">
        <v>10693</v>
      </c>
    </row>
    <row r="957" spans="1:56" ht="44.25" customHeight="1" x14ac:dyDescent="0.25">
      <c r="A957" s="7" t="s">
        <v>61</v>
      </c>
      <c r="B957" s="2" t="s">
        <v>10694</v>
      </c>
      <c r="C957" s="2" t="s">
        <v>10695</v>
      </c>
      <c r="D957" s="2" t="s">
        <v>10696</v>
      </c>
      <c r="F957" s="3" t="s">
        <v>61</v>
      </c>
      <c r="G957" s="3" t="s">
        <v>60</v>
      </c>
      <c r="H957" s="3" t="s">
        <v>61</v>
      </c>
      <c r="I957" s="3" t="s">
        <v>61</v>
      </c>
      <c r="J957" s="3" t="s">
        <v>62</v>
      </c>
      <c r="K957" s="2" t="s">
        <v>10697</v>
      </c>
      <c r="L957" s="2" t="s">
        <v>10698</v>
      </c>
      <c r="M957" s="3" t="s">
        <v>1465</v>
      </c>
      <c r="O957" s="3" t="s">
        <v>114</v>
      </c>
      <c r="P957" s="3" t="s">
        <v>235</v>
      </c>
      <c r="R957" s="3" t="s">
        <v>68</v>
      </c>
      <c r="S957" s="4">
        <v>5</v>
      </c>
      <c r="T957" s="4">
        <v>5</v>
      </c>
      <c r="U957" s="5" t="s">
        <v>10699</v>
      </c>
      <c r="V957" s="5" t="s">
        <v>10699</v>
      </c>
      <c r="W957" s="5" t="s">
        <v>10700</v>
      </c>
      <c r="X957" s="5" t="s">
        <v>10700</v>
      </c>
      <c r="Y957" s="4">
        <v>59</v>
      </c>
      <c r="Z957" s="4">
        <v>58</v>
      </c>
      <c r="AA957" s="4">
        <v>61</v>
      </c>
      <c r="AB957" s="4">
        <v>1</v>
      </c>
      <c r="AC957" s="4">
        <v>1</v>
      </c>
      <c r="AD957" s="4">
        <v>0</v>
      </c>
      <c r="AE957" s="4">
        <v>0</v>
      </c>
      <c r="AF957" s="4">
        <v>0</v>
      </c>
      <c r="AG957" s="4">
        <v>0</v>
      </c>
      <c r="AH957" s="4">
        <v>0</v>
      </c>
      <c r="AI957" s="4">
        <v>0</v>
      </c>
      <c r="AJ957" s="4">
        <v>0</v>
      </c>
      <c r="AK957" s="4">
        <v>0</v>
      </c>
      <c r="AL957" s="4">
        <v>0</v>
      </c>
      <c r="AM957" s="4">
        <v>0</v>
      </c>
      <c r="AN957" s="4">
        <v>0</v>
      </c>
      <c r="AO957" s="4">
        <v>0</v>
      </c>
      <c r="AP957" s="3" t="s">
        <v>61</v>
      </c>
      <c r="AQ957" s="3" t="s">
        <v>59</v>
      </c>
      <c r="AR957" s="6" t="str">
        <f>HYPERLINK("http://catalog.hathitrust.org/Record/007468401","HathiTrust Record")</f>
        <v>HathiTrust Record</v>
      </c>
      <c r="AS957" s="6" t="str">
        <f>HYPERLINK("https://creighton-primo.hosted.exlibrisgroup.com/primo-explore/search?tab=default_tab&amp;search_scope=EVERYTHING&amp;vid=01CRU&amp;lang=en_US&amp;offset=0&amp;query=any,contains,991002078699702656","Catalog Record")</f>
        <v>Catalog Record</v>
      </c>
      <c r="AT957" s="6" t="str">
        <f>HYPERLINK("http://www.worldcat.org/oclc/26648879","WorldCat Record")</f>
        <v>WorldCat Record</v>
      </c>
      <c r="AU957" s="3" t="s">
        <v>10701</v>
      </c>
      <c r="AV957" s="3" t="s">
        <v>10702</v>
      </c>
      <c r="AW957" s="3" t="s">
        <v>10703</v>
      </c>
      <c r="AX957" s="3" t="s">
        <v>10703</v>
      </c>
      <c r="AY957" s="3" t="s">
        <v>10704</v>
      </c>
      <c r="AZ957" s="3" t="s">
        <v>75</v>
      </c>
      <c r="BB957" s="3" t="s">
        <v>10705</v>
      </c>
      <c r="BC957" s="3" t="s">
        <v>10706</v>
      </c>
      <c r="BD957" s="3" t="s">
        <v>10707</v>
      </c>
    </row>
    <row r="958" spans="1:56" ht="44.25" customHeight="1" x14ac:dyDescent="0.25">
      <c r="A958" s="7" t="s">
        <v>61</v>
      </c>
      <c r="B958" s="2" t="s">
        <v>10708</v>
      </c>
      <c r="C958" s="2" t="s">
        <v>10709</v>
      </c>
      <c r="D958" s="2" t="s">
        <v>10710</v>
      </c>
      <c r="F958" s="3" t="s">
        <v>61</v>
      </c>
      <c r="G958" s="3" t="s">
        <v>60</v>
      </c>
      <c r="H958" s="3" t="s">
        <v>61</v>
      </c>
      <c r="I958" s="3" t="s">
        <v>61</v>
      </c>
      <c r="J958" s="3" t="s">
        <v>62</v>
      </c>
      <c r="K958" s="2" t="s">
        <v>10711</v>
      </c>
      <c r="L958" s="2" t="s">
        <v>10712</v>
      </c>
      <c r="M958" s="3" t="s">
        <v>5844</v>
      </c>
      <c r="O958" s="3" t="s">
        <v>114</v>
      </c>
      <c r="P958" s="3" t="s">
        <v>1716</v>
      </c>
      <c r="R958" s="3" t="s">
        <v>68</v>
      </c>
      <c r="S958" s="4">
        <v>2</v>
      </c>
      <c r="T958" s="4">
        <v>2</v>
      </c>
      <c r="U958" s="5" t="s">
        <v>10713</v>
      </c>
      <c r="V958" s="5" t="s">
        <v>10713</v>
      </c>
      <c r="W958" s="5" t="s">
        <v>10401</v>
      </c>
      <c r="X958" s="5" t="s">
        <v>10401</v>
      </c>
      <c r="Y958" s="4">
        <v>183</v>
      </c>
      <c r="Z958" s="4">
        <v>181</v>
      </c>
      <c r="AA958" s="4">
        <v>187</v>
      </c>
      <c r="AB958" s="4">
        <v>2</v>
      </c>
      <c r="AC958" s="4">
        <v>2</v>
      </c>
      <c r="AD958" s="4">
        <v>6</v>
      </c>
      <c r="AE958" s="4">
        <v>6</v>
      </c>
      <c r="AF958" s="4">
        <v>0</v>
      </c>
      <c r="AG958" s="4">
        <v>0</v>
      </c>
      <c r="AH958" s="4">
        <v>3</v>
      </c>
      <c r="AI958" s="4">
        <v>3</v>
      </c>
      <c r="AJ958" s="4">
        <v>4</v>
      </c>
      <c r="AK958" s="4">
        <v>4</v>
      </c>
      <c r="AL958" s="4">
        <v>1</v>
      </c>
      <c r="AM958" s="4">
        <v>1</v>
      </c>
      <c r="AN958" s="4">
        <v>0</v>
      </c>
      <c r="AO958" s="4">
        <v>0</v>
      </c>
      <c r="AP958" s="3" t="s">
        <v>61</v>
      </c>
      <c r="AQ958" s="3" t="s">
        <v>59</v>
      </c>
      <c r="AR958" s="6" t="str">
        <f>HYPERLINK("http://catalog.hathitrust.org/Record/000809899","HathiTrust Record")</f>
        <v>HathiTrust Record</v>
      </c>
      <c r="AS958" s="6" t="str">
        <f>HYPERLINK("https://creighton-primo.hosted.exlibrisgroup.com/primo-explore/search?tab=default_tab&amp;search_scope=EVERYTHING&amp;vid=01CRU&amp;lang=en_US&amp;offset=0&amp;query=any,contains,991003657169702656","Catalog Record")</f>
        <v>Catalog Record</v>
      </c>
      <c r="AT958" s="6" t="str">
        <f>HYPERLINK("http://www.worldcat.org/oclc/1262878","WorldCat Record")</f>
        <v>WorldCat Record</v>
      </c>
      <c r="AU958" s="3" t="s">
        <v>10714</v>
      </c>
      <c r="AV958" s="3" t="s">
        <v>10715</v>
      </c>
      <c r="AW958" s="3" t="s">
        <v>10716</v>
      </c>
      <c r="AX958" s="3" t="s">
        <v>10716</v>
      </c>
      <c r="AY958" s="3" t="s">
        <v>10717</v>
      </c>
      <c r="AZ958" s="3" t="s">
        <v>75</v>
      </c>
      <c r="BC958" s="3" t="s">
        <v>10718</v>
      </c>
      <c r="BD958" s="3" t="s">
        <v>10719</v>
      </c>
    </row>
    <row r="959" spans="1:56" ht="44.25" customHeight="1" x14ac:dyDescent="0.25">
      <c r="A959" s="7" t="s">
        <v>61</v>
      </c>
      <c r="B959" s="2" t="s">
        <v>10720</v>
      </c>
      <c r="C959" s="2" t="s">
        <v>10721</v>
      </c>
      <c r="D959" s="2" t="s">
        <v>10722</v>
      </c>
      <c r="F959" s="3" t="s">
        <v>61</v>
      </c>
      <c r="G959" s="3" t="s">
        <v>60</v>
      </c>
      <c r="H959" s="3" t="s">
        <v>61</v>
      </c>
      <c r="I959" s="3" t="s">
        <v>61</v>
      </c>
      <c r="J959" s="3" t="s">
        <v>62</v>
      </c>
      <c r="K959" s="2" t="s">
        <v>10723</v>
      </c>
      <c r="L959" s="2" t="s">
        <v>10724</v>
      </c>
      <c r="M959" s="3" t="s">
        <v>7375</v>
      </c>
      <c r="O959" s="3" t="s">
        <v>114</v>
      </c>
      <c r="P959" s="3" t="s">
        <v>235</v>
      </c>
      <c r="R959" s="3" t="s">
        <v>68</v>
      </c>
      <c r="S959" s="4">
        <v>2</v>
      </c>
      <c r="T959" s="4">
        <v>2</v>
      </c>
      <c r="U959" s="5" t="s">
        <v>10725</v>
      </c>
      <c r="V959" s="5" t="s">
        <v>10725</v>
      </c>
      <c r="W959" s="5" t="s">
        <v>10726</v>
      </c>
      <c r="X959" s="5" t="s">
        <v>10726</v>
      </c>
      <c r="Y959" s="4">
        <v>169</v>
      </c>
      <c r="Z959" s="4">
        <v>154</v>
      </c>
      <c r="AA959" s="4">
        <v>161</v>
      </c>
      <c r="AB959" s="4">
        <v>1</v>
      </c>
      <c r="AC959" s="4">
        <v>1</v>
      </c>
      <c r="AD959" s="4">
        <v>4</v>
      </c>
      <c r="AE959" s="4">
        <v>4</v>
      </c>
      <c r="AF959" s="4">
        <v>1</v>
      </c>
      <c r="AG959" s="4">
        <v>1</v>
      </c>
      <c r="AH959" s="4">
        <v>1</v>
      </c>
      <c r="AI959" s="4">
        <v>1</v>
      </c>
      <c r="AJ959" s="4">
        <v>2</v>
      </c>
      <c r="AK959" s="4">
        <v>2</v>
      </c>
      <c r="AL959" s="4">
        <v>0</v>
      </c>
      <c r="AM959" s="4">
        <v>0</v>
      </c>
      <c r="AN959" s="4">
        <v>0</v>
      </c>
      <c r="AO959" s="4">
        <v>0</v>
      </c>
      <c r="AP959" s="3" t="s">
        <v>59</v>
      </c>
      <c r="AQ959" s="3" t="s">
        <v>61</v>
      </c>
      <c r="AR959" s="6" t="str">
        <f>HYPERLINK("http://catalog.hathitrust.org/Record/002803446","HathiTrust Record")</f>
        <v>HathiTrust Record</v>
      </c>
      <c r="AS959" s="6" t="str">
        <f>HYPERLINK("https://creighton-primo.hosted.exlibrisgroup.com/primo-explore/search?tab=default_tab&amp;search_scope=EVERYTHING&amp;vid=01CRU&amp;lang=en_US&amp;offset=0&amp;query=any,contains,991000587479702656","Catalog Record")</f>
        <v>Catalog Record</v>
      </c>
      <c r="AT959" s="6" t="str">
        <f>HYPERLINK("http://www.worldcat.org/oclc/11772559","WorldCat Record")</f>
        <v>WorldCat Record</v>
      </c>
      <c r="AU959" s="3" t="s">
        <v>10727</v>
      </c>
      <c r="AV959" s="3" t="s">
        <v>10728</v>
      </c>
      <c r="AW959" s="3" t="s">
        <v>10729</v>
      </c>
      <c r="AX959" s="3" t="s">
        <v>10729</v>
      </c>
      <c r="AY959" s="3" t="s">
        <v>10730</v>
      </c>
      <c r="AZ959" s="3" t="s">
        <v>75</v>
      </c>
      <c r="BC959" s="3" t="s">
        <v>10731</v>
      </c>
      <c r="BD959" s="3" t="s">
        <v>10732</v>
      </c>
    </row>
    <row r="960" spans="1:56" ht="44.25" customHeight="1" x14ac:dyDescent="0.25">
      <c r="A960" s="7" t="s">
        <v>61</v>
      </c>
      <c r="B960" s="2" t="s">
        <v>10733</v>
      </c>
      <c r="C960" s="2" t="s">
        <v>10734</v>
      </c>
      <c r="D960" s="2" t="s">
        <v>10735</v>
      </c>
      <c r="F960" s="3" t="s">
        <v>61</v>
      </c>
      <c r="G960" s="3" t="s">
        <v>60</v>
      </c>
      <c r="H960" s="3" t="s">
        <v>61</v>
      </c>
      <c r="I960" s="3" t="s">
        <v>61</v>
      </c>
      <c r="J960" s="3" t="s">
        <v>62</v>
      </c>
      <c r="K960" s="2" t="s">
        <v>10736</v>
      </c>
      <c r="L960" s="2" t="s">
        <v>10737</v>
      </c>
      <c r="M960" s="3" t="s">
        <v>495</v>
      </c>
      <c r="O960" s="3" t="s">
        <v>114</v>
      </c>
      <c r="P960" s="3" t="s">
        <v>2432</v>
      </c>
      <c r="R960" s="3" t="s">
        <v>68</v>
      </c>
      <c r="S960" s="4">
        <v>3</v>
      </c>
      <c r="T960" s="4">
        <v>3</v>
      </c>
      <c r="U960" s="5" t="s">
        <v>8400</v>
      </c>
      <c r="V960" s="5" t="s">
        <v>8400</v>
      </c>
      <c r="W960" s="5" t="s">
        <v>10738</v>
      </c>
      <c r="X960" s="5" t="s">
        <v>10738</v>
      </c>
      <c r="Y960" s="4">
        <v>227</v>
      </c>
      <c r="Z960" s="4">
        <v>197</v>
      </c>
      <c r="AA960" s="4">
        <v>199</v>
      </c>
      <c r="AB960" s="4">
        <v>2</v>
      </c>
      <c r="AC960" s="4">
        <v>2</v>
      </c>
      <c r="AD960" s="4">
        <v>7</v>
      </c>
      <c r="AE960" s="4">
        <v>7</v>
      </c>
      <c r="AF960" s="4">
        <v>1</v>
      </c>
      <c r="AG960" s="4">
        <v>1</v>
      </c>
      <c r="AH960" s="4">
        <v>2</v>
      </c>
      <c r="AI960" s="4">
        <v>2</v>
      </c>
      <c r="AJ960" s="4">
        <v>6</v>
      </c>
      <c r="AK960" s="4">
        <v>6</v>
      </c>
      <c r="AL960" s="4">
        <v>1</v>
      </c>
      <c r="AM960" s="4">
        <v>1</v>
      </c>
      <c r="AN960" s="4">
        <v>0</v>
      </c>
      <c r="AO960" s="4">
        <v>0</v>
      </c>
      <c r="AP960" s="3" t="s">
        <v>61</v>
      </c>
      <c r="AQ960" s="3" t="s">
        <v>59</v>
      </c>
      <c r="AR960" s="6" t="str">
        <f>HYPERLINK("http://catalog.hathitrust.org/Record/003104043","HathiTrust Record")</f>
        <v>HathiTrust Record</v>
      </c>
      <c r="AS960" s="6" t="str">
        <f>HYPERLINK("https://creighton-primo.hosted.exlibrisgroup.com/primo-explore/search?tab=default_tab&amp;search_scope=EVERYTHING&amp;vid=01CRU&amp;lang=en_US&amp;offset=0&amp;query=any,contains,991002628769702656","Catalog Record")</f>
        <v>Catalog Record</v>
      </c>
      <c r="AT960" s="6" t="str">
        <f>HYPERLINK("http://www.worldcat.org/oclc/34472914","WorldCat Record")</f>
        <v>WorldCat Record</v>
      </c>
      <c r="AU960" s="3" t="s">
        <v>10739</v>
      </c>
      <c r="AV960" s="3" t="s">
        <v>10740</v>
      </c>
      <c r="AW960" s="3" t="s">
        <v>10741</v>
      </c>
      <c r="AX960" s="3" t="s">
        <v>10741</v>
      </c>
      <c r="AY960" s="3" t="s">
        <v>10742</v>
      </c>
      <c r="AZ960" s="3" t="s">
        <v>75</v>
      </c>
      <c r="BB960" s="3" t="s">
        <v>10743</v>
      </c>
      <c r="BC960" s="3" t="s">
        <v>10744</v>
      </c>
      <c r="BD960" s="3" t="s">
        <v>10745</v>
      </c>
    </row>
    <row r="961" spans="1:56" ht="44.25" customHeight="1" x14ac:dyDescent="0.25">
      <c r="A961" s="7" t="s">
        <v>61</v>
      </c>
      <c r="B961" s="2" t="s">
        <v>10746</v>
      </c>
      <c r="C961" s="2" t="s">
        <v>10747</v>
      </c>
      <c r="D961" s="2" t="s">
        <v>10748</v>
      </c>
      <c r="F961" s="3" t="s">
        <v>61</v>
      </c>
      <c r="G961" s="3" t="s">
        <v>60</v>
      </c>
      <c r="H961" s="3" t="s">
        <v>61</v>
      </c>
      <c r="I961" s="3" t="s">
        <v>61</v>
      </c>
      <c r="J961" s="3" t="s">
        <v>62</v>
      </c>
      <c r="K961" s="2" t="s">
        <v>10749</v>
      </c>
      <c r="L961" s="2" t="s">
        <v>10750</v>
      </c>
      <c r="M961" s="3" t="s">
        <v>1507</v>
      </c>
      <c r="O961" s="3" t="s">
        <v>114</v>
      </c>
      <c r="P961" s="3" t="s">
        <v>437</v>
      </c>
      <c r="Q961" s="2" t="s">
        <v>10751</v>
      </c>
      <c r="R961" s="3" t="s">
        <v>68</v>
      </c>
      <c r="S961" s="4">
        <v>1</v>
      </c>
      <c r="T961" s="4">
        <v>1</v>
      </c>
      <c r="U961" s="5" t="s">
        <v>10752</v>
      </c>
      <c r="V961" s="5" t="s">
        <v>10752</v>
      </c>
      <c r="W961" s="5" t="s">
        <v>10753</v>
      </c>
      <c r="X961" s="5" t="s">
        <v>10753</v>
      </c>
      <c r="Y961" s="4">
        <v>209</v>
      </c>
      <c r="Z961" s="4">
        <v>186</v>
      </c>
      <c r="AA961" s="4">
        <v>485</v>
      </c>
      <c r="AB961" s="4">
        <v>1</v>
      </c>
      <c r="AC961" s="4">
        <v>4</v>
      </c>
      <c r="AD961" s="4">
        <v>9</v>
      </c>
      <c r="AE961" s="4">
        <v>21</v>
      </c>
      <c r="AF961" s="4">
        <v>4</v>
      </c>
      <c r="AG961" s="4">
        <v>9</v>
      </c>
      <c r="AH961" s="4">
        <v>3</v>
      </c>
      <c r="AI961" s="4">
        <v>4</v>
      </c>
      <c r="AJ961" s="4">
        <v>4</v>
      </c>
      <c r="AK961" s="4">
        <v>10</v>
      </c>
      <c r="AL961" s="4">
        <v>0</v>
      </c>
      <c r="AM961" s="4">
        <v>3</v>
      </c>
      <c r="AN961" s="4">
        <v>0</v>
      </c>
      <c r="AO961" s="4">
        <v>0</v>
      </c>
      <c r="AP961" s="3" t="s">
        <v>61</v>
      </c>
      <c r="AQ961" s="3" t="s">
        <v>61</v>
      </c>
      <c r="AS961" s="6" t="str">
        <f>HYPERLINK("https://creighton-primo.hosted.exlibrisgroup.com/primo-explore/search?tab=default_tab&amp;search_scope=EVERYTHING&amp;vid=01CRU&amp;lang=en_US&amp;offset=0&amp;query=any,contains,991003589169702656","Catalog Record")</f>
        <v>Catalog Record</v>
      </c>
      <c r="AT961" s="6" t="str">
        <f>HYPERLINK("http://www.worldcat.org/oclc/1171034","WorldCat Record")</f>
        <v>WorldCat Record</v>
      </c>
      <c r="AU961" s="3" t="s">
        <v>10754</v>
      </c>
      <c r="AV961" s="3" t="s">
        <v>10755</v>
      </c>
      <c r="AW961" s="3" t="s">
        <v>10756</v>
      </c>
      <c r="AX961" s="3" t="s">
        <v>10756</v>
      </c>
      <c r="AY961" s="3" t="s">
        <v>10757</v>
      </c>
      <c r="AZ961" s="3" t="s">
        <v>75</v>
      </c>
      <c r="BB961" s="3" t="s">
        <v>10758</v>
      </c>
      <c r="BC961" s="3" t="s">
        <v>10759</v>
      </c>
      <c r="BD961" s="3" t="s">
        <v>10760</v>
      </c>
    </row>
    <row r="962" spans="1:56" ht="44.25" customHeight="1" x14ac:dyDescent="0.25">
      <c r="A962" s="7" t="s">
        <v>61</v>
      </c>
      <c r="B962" s="2" t="s">
        <v>10761</v>
      </c>
      <c r="C962" s="2" t="s">
        <v>10762</v>
      </c>
      <c r="D962" s="2" t="s">
        <v>10763</v>
      </c>
      <c r="F962" s="3" t="s">
        <v>61</v>
      </c>
      <c r="G962" s="3" t="s">
        <v>60</v>
      </c>
      <c r="H962" s="3" t="s">
        <v>61</v>
      </c>
      <c r="I962" s="3" t="s">
        <v>61</v>
      </c>
      <c r="J962" s="3" t="s">
        <v>62</v>
      </c>
      <c r="K962" s="2" t="s">
        <v>10764</v>
      </c>
      <c r="L962" s="2" t="s">
        <v>10765</v>
      </c>
      <c r="M962" s="3" t="s">
        <v>796</v>
      </c>
      <c r="N962" s="2" t="s">
        <v>634</v>
      </c>
      <c r="O962" s="3" t="s">
        <v>114</v>
      </c>
      <c r="P962" s="3" t="s">
        <v>235</v>
      </c>
      <c r="R962" s="3" t="s">
        <v>68</v>
      </c>
      <c r="S962" s="4">
        <v>3</v>
      </c>
      <c r="T962" s="4">
        <v>3</v>
      </c>
      <c r="U962" s="5" t="s">
        <v>10598</v>
      </c>
      <c r="V962" s="5" t="s">
        <v>10598</v>
      </c>
      <c r="W962" s="5" t="s">
        <v>10753</v>
      </c>
      <c r="X962" s="5" t="s">
        <v>10753</v>
      </c>
      <c r="Y962" s="4">
        <v>2482</v>
      </c>
      <c r="Z962" s="4">
        <v>2394</v>
      </c>
      <c r="AA962" s="4">
        <v>2636</v>
      </c>
      <c r="AB962" s="4">
        <v>17</v>
      </c>
      <c r="AC962" s="4">
        <v>21</v>
      </c>
      <c r="AD962" s="4">
        <v>44</v>
      </c>
      <c r="AE962" s="4">
        <v>47</v>
      </c>
      <c r="AF962" s="4">
        <v>16</v>
      </c>
      <c r="AG962" s="4">
        <v>17</v>
      </c>
      <c r="AH962" s="4">
        <v>7</v>
      </c>
      <c r="AI962" s="4">
        <v>7</v>
      </c>
      <c r="AJ962" s="4">
        <v>22</v>
      </c>
      <c r="AK962" s="4">
        <v>23</v>
      </c>
      <c r="AL962" s="4">
        <v>8</v>
      </c>
      <c r="AM962" s="4">
        <v>9</v>
      </c>
      <c r="AN962" s="4">
        <v>0</v>
      </c>
      <c r="AO962" s="4">
        <v>0</v>
      </c>
      <c r="AP962" s="3" t="s">
        <v>61</v>
      </c>
      <c r="AQ962" s="3" t="s">
        <v>59</v>
      </c>
      <c r="AR962" s="6" t="str">
        <f>HYPERLINK("http://catalog.hathitrust.org/Record/000916659","HathiTrust Record")</f>
        <v>HathiTrust Record</v>
      </c>
      <c r="AS962" s="6" t="str">
        <f>HYPERLINK("https://creighton-primo.hosted.exlibrisgroup.com/primo-explore/search?tab=default_tab&amp;search_scope=EVERYTHING&amp;vid=01CRU&amp;lang=en_US&amp;offset=0&amp;query=any,contains,991001222219702656","Catalog Record")</f>
        <v>Catalog Record</v>
      </c>
      <c r="AT962" s="6" t="str">
        <f>HYPERLINK("http://www.worldcat.org/oclc/17479823","WorldCat Record")</f>
        <v>WorldCat Record</v>
      </c>
      <c r="AU962" s="3" t="s">
        <v>10766</v>
      </c>
      <c r="AV962" s="3" t="s">
        <v>10767</v>
      </c>
      <c r="AW962" s="3" t="s">
        <v>10768</v>
      </c>
      <c r="AX962" s="3" t="s">
        <v>10768</v>
      </c>
      <c r="AY962" s="3" t="s">
        <v>10769</v>
      </c>
      <c r="AZ962" s="3" t="s">
        <v>75</v>
      </c>
      <c r="BB962" s="3" t="s">
        <v>10770</v>
      </c>
      <c r="BC962" s="3" t="s">
        <v>10771</v>
      </c>
      <c r="BD962" s="3" t="s">
        <v>10772</v>
      </c>
    </row>
    <row r="963" spans="1:56" ht="44.25" customHeight="1" x14ac:dyDescent="0.25">
      <c r="A963" s="7" t="s">
        <v>61</v>
      </c>
      <c r="B963" s="2" t="s">
        <v>10773</v>
      </c>
      <c r="C963" s="2" t="s">
        <v>10774</v>
      </c>
      <c r="D963" s="2" t="s">
        <v>10775</v>
      </c>
      <c r="F963" s="3" t="s">
        <v>61</v>
      </c>
      <c r="G963" s="3" t="s">
        <v>60</v>
      </c>
      <c r="H963" s="3" t="s">
        <v>61</v>
      </c>
      <c r="I963" s="3" t="s">
        <v>61</v>
      </c>
      <c r="J963" s="3" t="s">
        <v>62</v>
      </c>
      <c r="K963" s="2" t="s">
        <v>10776</v>
      </c>
      <c r="L963" s="2" t="s">
        <v>10777</v>
      </c>
      <c r="M963" s="3" t="s">
        <v>8273</v>
      </c>
      <c r="O963" s="3" t="s">
        <v>114</v>
      </c>
      <c r="P963" s="3" t="s">
        <v>235</v>
      </c>
      <c r="R963" s="3" t="s">
        <v>68</v>
      </c>
      <c r="S963" s="4">
        <v>2</v>
      </c>
      <c r="T963" s="4">
        <v>2</v>
      </c>
      <c r="U963" s="5" t="s">
        <v>10778</v>
      </c>
      <c r="V963" s="5" t="s">
        <v>10778</v>
      </c>
      <c r="W963" s="5" t="s">
        <v>10779</v>
      </c>
      <c r="X963" s="5" t="s">
        <v>10779</v>
      </c>
      <c r="Y963" s="4">
        <v>217</v>
      </c>
      <c r="Z963" s="4">
        <v>199</v>
      </c>
      <c r="AA963" s="4">
        <v>201</v>
      </c>
      <c r="AB963" s="4">
        <v>2</v>
      </c>
      <c r="AC963" s="4">
        <v>2</v>
      </c>
      <c r="AD963" s="4">
        <v>4</v>
      </c>
      <c r="AE963" s="4">
        <v>4</v>
      </c>
      <c r="AF963" s="4">
        <v>1</v>
      </c>
      <c r="AG963" s="4">
        <v>1</v>
      </c>
      <c r="AH963" s="4">
        <v>2</v>
      </c>
      <c r="AI963" s="4">
        <v>2</v>
      </c>
      <c r="AJ963" s="4">
        <v>2</v>
      </c>
      <c r="AK963" s="4">
        <v>2</v>
      </c>
      <c r="AL963" s="4">
        <v>1</v>
      </c>
      <c r="AM963" s="4">
        <v>1</v>
      </c>
      <c r="AN963" s="4">
        <v>0</v>
      </c>
      <c r="AO963" s="4">
        <v>0</v>
      </c>
      <c r="AP963" s="3" t="s">
        <v>61</v>
      </c>
      <c r="AQ963" s="3" t="s">
        <v>59</v>
      </c>
      <c r="AR963" s="6" t="str">
        <f>HYPERLINK("http://catalog.hathitrust.org/Record/000492724","HathiTrust Record")</f>
        <v>HathiTrust Record</v>
      </c>
      <c r="AS963" s="6" t="str">
        <f>HYPERLINK("https://creighton-primo.hosted.exlibrisgroup.com/primo-explore/search?tab=default_tab&amp;search_scope=EVERYTHING&amp;vid=01CRU&amp;lang=en_US&amp;offset=0&amp;query=any,contains,991003727849702656","Catalog Record")</f>
        <v>Catalog Record</v>
      </c>
      <c r="AT963" s="6" t="str">
        <f>HYPERLINK("http://www.worldcat.org/oclc/1377005","WorldCat Record")</f>
        <v>WorldCat Record</v>
      </c>
      <c r="AU963" s="3" t="s">
        <v>10780</v>
      </c>
      <c r="AV963" s="3" t="s">
        <v>10781</v>
      </c>
      <c r="AW963" s="3" t="s">
        <v>10782</v>
      </c>
      <c r="AX963" s="3" t="s">
        <v>10782</v>
      </c>
      <c r="AY963" s="3" t="s">
        <v>10783</v>
      </c>
      <c r="AZ963" s="3" t="s">
        <v>75</v>
      </c>
      <c r="BC963" s="3" t="s">
        <v>10784</v>
      </c>
      <c r="BD963" s="3" t="s">
        <v>10785</v>
      </c>
    </row>
    <row r="964" spans="1:56" ht="44.25" customHeight="1" x14ac:dyDescent="0.25">
      <c r="A964" s="7" t="s">
        <v>61</v>
      </c>
      <c r="B964" s="2" t="s">
        <v>10786</v>
      </c>
      <c r="C964" s="2" t="s">
        <v>10787</v>
      </c>
      <c r="D964" s="2" t="s">
        <v>10788</v>
      </c>
      <c r="F964" s="3" t="s">
        <v>61</v>
      </c>
      <c r="G964" s="3" t="s">
        <v>60</v>
      </c>
      <c r="H964" s="3" t="s">
        <v>61</v>
      </c>
      <c r="I964" s="3" t="s">
        <v>61</v>
      </c>
      <c r="J964" s="3" t="s">
        <v>62</v>
      </c>
      <c r="K964" s="2" t="s">
        <v>10789</v>
      </c>
      <c r="L964" s="2" t="s">
        <v>10790</v>
      </c>
      <c r="M964" s="3" t="s">
        <v>884</v>
      </c>
      <c r="O964" s="3" t="s">
        <v>114</v>
      </c>
      <c r="P964" s="3" t="s">
        <v>649</v>
      </c>
      <c r="R964" s="3" t="s">
        <v>68</v>
      </c>
      <c r="S964" s="4">
        <v>5</v>
      </c>
      <c r="T964" s="4">
        <v>5</v>
      </c>
      <c r="U964" s="5" t="s">
        <v>8681</v>
      </c>
      <c r="V964" s="5" t="s">
        <v>8681</v>
      </c>
      <c r="W964" s="5" t="s">
        <v>6469</v>
      </c>
      <c r="X964" s="5" t="s">
        <v>6469</v>
      </c>
      <c r="Y964" s="4">
        <v>207</v>
      </c>
      <c r="Z964" s="4">
        <v>168</v>
      </c>
      <c r="AA964" s="4">
        <v>533</v>
      </c>
      <c r="AB964" s="4">
        <v>3</v>
      </c>
      <c r="AC964" s="4">
        <v>5</v>
      </c>
      <c r="AD964" s="4">
        <v>5</v>
      </c>
      <c r="AE964" s="4">
        <v>18</v>
      </c>
      <c r="AF964" s="4">
        <v>2</v>
      </c>
      <c r="AG964" s="4">
        <v>6</v>
      </c>
      <c r="AH964" s="4">
        <v>1</v>
      </c>
      <c r="AI964" s="4">
        <v>5</v>
      </c>
      <c r="AJ964" s="4">
        <v>1</v>
      </c>
      <c r="AK964" s="4">
        <v>8</v>
      </c>
      <c r="AL964" s="4">
        <v>2</v>
      </c>
      <c r="AM964" s="4">
        <v>4</v>
      </c>
      <c r="AN964" s="4">
        <v>0</v>
      </c>
      <c r="AO964" s="4">
        <v>0</v>
      </c>
      <c r="AP964" s="3" t="s">
        <v>61</v>
      </c>
      <c r="AQ964" s="3" t="s">
        <v>61</v>
      </c>
      <c r="AS964" s="6" t="str">
        <f>HYPERLINK("https://creighton-primo.hosted.exlibrisgroup.com/primo-explore/search?tab=default_tab&amp;search_scope=EVERYTHING&amp;vid=01CRU&amp;lang=en_US&amp;offset=0&amp;query=any,contains,991000725089702656","Catalog Record")</f>
        <v>Catalog Record</v>
      </c>
      <c r="AT964" s="6" t="str">
        <f>HYPERLINK("http://www.worldcat.org/oclc/127401","WorldCat Record")</f>
        <v>WorldCat Record</v>
      </c>
      <c r="AU964" s="3" t="s">
        <v>10791</v>
      </c>
      <c r="AV964" s="3" t="s">
        <v>10792</v>
      </c>
      <c r="AW964" s="3" t="s">
        <v>10793</v>
      </c>
      <c r="AX964" s="3" t="s">
        <v>10793</v>
      </c>
      <c r="AY964" s="3" t="s">
        <v>10794</v>
      </c>
      <c r="AZ964" s="3" t="s">
        <v>75</v>
      </c>
      <c r="BB964" s="3" t="s">
        <v>10795</v>
      </c>
      <c r="BC964" s="3" t="s">
        <v>10796</v>
      </c>
      <c r="BD964" s="3" t="s">
        <v>10797</v>
      </c>
    </row>
    <row r="965" spans="1:56" ht="44.25" customHeight="1" x14ac:dyDescent="0.25">
      <c r="A965" s="7" t="s">
        <v>61</v>
      </c>
      <c r="B965" s="2" t="s">
        <v>10798</v>
      </c>
      <c r="C965" s="2" t="s">
        <v>10799</v>
      </c>
      <c r="D965" s="2" t="s">
        <v>10800</v>
      </c>
      <c r="F965" s="3" t="s">
        <v>61</v>
      </c>
      <c r="G965" s="3" t="s">
        <v>60</v>
      </c>
      <c r="H965" s="3" t="s">
        <v>61</v>
      </c>
      <c r="I965" s="3" t="s">
        <v>61</v>
      </c>
      <c r="J965" s="3" t="s">
        <v>62</v>
      </c>
      <c r="K965" s="2" t="s">
        <v>10801</v>
      </c>
      <c r="L965" s="2" t="s">
        <v>10802</v>
      </c>
      <c r="M965" s="3" t="s">
        <v>2281</v>
      </c>
      <c r="O965" s="3" t="s">
        <v>114</v>
      </c>
      <c r="P965" s="3" t="s">
        <v>67</v>
      </c>
      <c r="R965" s="3" t="s">
        <v>68</v>
      </c>
      <c r="S965" s="4">
        <v>2</v>
      </c>
      <c r="T965" s="4">
        <v>2</v>
      </c>
      <c r="U965" s="5" t="s">
        <v>1800</v>
      </c>
      <c r="V965" s="5" t="s">
        <v>1800</v>
      </c>
      <c r="W965" s="5" t="s">
        <v>10753</v>
      </c>
      <c r="X965" s="5" t="s">
        <v>10753</v>
      </c>
      <c r="Y965" s="4">
        <v>155</v>
      </c>
      <c r="Z965" s="4">
        <v>146</v>
      </c>
      <c r="AA965" s="4">
        <v>172</v>
      </c>
      <c r="AB965" s="4">
        <v>1</v>
      </c>
      <c r="AC965" s="4">
        <v>1</v>
      </c>
      <c r="AD965" s="4">
        <v>3</v>
      </c>
      <c r="AE965" s="4">
        <v>3</v>
      </c>
      <c r="AF965" s="4">
        <v>1</v>
      </c>
      <c r="AG965" s="4">
        <v>1</v>
      </c>
      <c r="AH965" s="4">
        <v>1</v>
      </c>
      <c r="AI965" s="4">
        <v>1</v>
      </c>
      <c r="AJ965" s="4">
        <v>2</v>
      </c>
      <c r="AK965" s="4">
        <v>2</v>
      </c>
      <c r="AL965" s="4">
        <v>0</v>
      </c>
      <c r="AM965" s="4">
        <v>0</v>
      </c>
      <c r="AN965" s="4">
        <v>0</v>
      </c>
      <c r="AO965" s="4">
        <v>0</v>
      </c>
      <c r="AP965" s="3" t="s">
        <v>61</v>
      </c>
      <c r="AQ965" s="3" t="s">
        <v>59</v>
      </c>
      <c r="AR965" s="6" t="str">
        <f>HYPERLINK("http://catalog.hathitrust.org/Record/000177021","HathiTrust Record")</f>
        <v>HathiTrust Record</v>
      </c>
      <c r="AS965" s="6" t="str">
        <f>HYPERLINK("https://creighton-primo.hosted.exlibrisgroup.com/primo-explore/search?tab=default_tab&amp;search_scope=EVERYTHING&amp;vid=01CRU&amp;lang=en_US&amp;offset=0&amp;query=any,contains,991004568899702656","Catalog Record")</f>
        <v>Catalog Record</v>
      </c>
      <c r="AT965" s="6" t="str">
        <f>HYPERLINK("http://www.worldcat.org/oclc/4008605","WorldCat Record")</f>
        <v>WorldCat Record</v>
      </c>
      <c r="AU965" s="3" t="s">
        <v>10803</v>
      </c>
      <c r="AV965" s="3" t="s">
        <v>10804</v>
      </c>
      <c r="AW965" s="3" t="s">
        <v>10805</v>
      </c>
      <c r="AX965" s="3" t="s">
        <v>10805</v>
      </c>
      <c r="AY965" s="3" t="s">
        <v>10806</v>
      </c>
      <c r="AZ965" s="3" t="s">
        <v>75</v>
      </c>
      <c r="BB965" s="3" t="s">
        <v>10807</v>
      </c>
      <c r="BC965" s="3" t="s">
        <v>10808</v>
      </c>
      <c r="BD965" s="3" t="s">
        <v>10809</v>
      </c>
    </row>
    <row r="966" spans="1:56" ht="44.25" customHeight="1" x14ac:dyDescent="0.25">
      <c r="A966" s="7" t="s">
        <v>61</v>
      </c>
      <c r="B966" s="2" t="s">
        <v>10810</v>
      </c>
      <c r="C966" s="2" t="s">
        <v>10811</v>
      </c>
      <c r="D966" s="2" t="s">
        <v>10812</v>
      </c>
      <c r="F966" s="3" t="s">
        <v>61</v>
      </c>
      <c r="G966" s="3" t="s">
        <v>60</v>
      </c>
      <c r="H966" s="3" t="s">
        <v>61</v>
      </c>
      <c r="I966" s="3" t="s">
        <v>61</v>
      </c>
      <c r="J966" s="3" t="s">
        <v>62</v>
      </c>
      <c r="K966" s="2" t="s">
        <v>10813</v>
      </c>
      <c r="L966" s="2" t="s">
        <v>10814</v>
      </c>
      <c r="M966" s="3" t="s">
        <v>770</v>
      </c>
      <c r="O966" s="3" t="s">
        <v>114</v>
      </c>
      <c r="P966" s="3" t="s">
        <v>235</v>
      </c>
      <c r="R966" s="3" t="s">
        <v>68</v>
      </c>
      <c r="S966" s="4">
        <v>3</v>
      </c>
      <c r="T966" s="4">
        <v>3</v>
      </c>
      <c r="U966" s="5" t="s">
        <v>10815</v>
      </c>
      <c r="V966" s="5" t="s">
        <v>10815</v>
      </c>
      <c r="W966" s="5" t="s">
        <v>9409</v>
      </c>
      <c r="X966" s="5" t="s">
        <v>9409</v>
      </c>
      <c r="Y966" s="4">
        <v>82</v>
      </c>
      <c r="Z966" s="4">
        <v>73</v>
      </c>
      <c r="AA966" s="4">
        <v>642</v>
      </c>
      <c r="AB966" s="4">
        <v>2</v>
      </c>
      <c r="AC966" s="4">
        <v>5</v>
      </c>
      <c r="AD966" s="4">
        <v>1</v>
      </c>
      <c r="AE966" s="4">
        <v>21</v>
      </c>
      <c r="AF966" s="4">
        <v>0</v>
      </c>
      <c r="AG966" s="4">
        <v>7</v>
      </c>
      <c r="AH966" s="4">
        <v>0</v>
      </c>
      <c r="AI966" s="4">
        <v>5</v>
      </c>
      <c r="AJ966" s="4">
        <v>1</v>
      </c>
      <c r="AK966" s="4">
        <v>11</v>
      </c>
      <c r="AL966" s="4">
        <v>0</v>
      </c>
      <c r="AM966" s="4">
        <v>3</v>
      </c>
      <c r="AN966" s="4">
        <v>0</v>
      </c>
      <c r="AO966" s="4">
        <v>0</v>
      </c>
      <c r="AP966" s="3" t="s">
        <v>61</v>
      </c>
      <c r="AQ966" s="3" t="s">
        <v>61</v>
      </c>
      <c r="AS966" s="6" t="str">
        <f>HYPERLINK("https://creighton-primo.hosted.exlibrisgroup.com/primo-explore/search?tab=default_tab&amp;search_scope=EVERYTHING&amp;vid=01CRU&amp;lang=en_US&amp;offset=0&amp;query=any,contains,991003703879702656","Catalog Record")</f>
        <v>Catalog Record</v>
      </c>
      <c r="AT966" s="6" t="str">
        <f>HYPERLINK("http://www.worldcat.org/oclc/1340440","WorldCat Record")</f>
        <v>WorldCat Record</v>
      </c>
      <c r="AU966" s="3" t="s">
        <v>10816</v>
      </c>
      <c r="AV966" s="3" t="s">
        <v>10817</v>
      </c>
      <c r="AW966" s="3" t="s">
        <v>10818</v>
      </c>
      <c r="AX966" s="3" t="s">
        <v>10818</v>
      </c>
      <c r="AY966" s="3" t="s">
        <v>10819</v>
      </c>
      <c r="AZ966" s="3" t="s">
        <v>75</v>
      </c>
      <c r="BB966" s="3" t="s">
        <v>10820</v>
      </c>
      <c r="BC966" s="3" t="s">
        <v>10821</v>
      </c>
      <c r="BD966" s="3" t="s">
        <v>10822</v>
      </c>
    </row>
    <row r="967" spans="1:56" ht="44.25" customHeight="1" x14ac:dyDescent="0.25">
      <c r="A967" s="7" t="s">
        <v>61</v>
      </c>
      <c r="B967" s="2" t="s">
        <v>10823</v>
      </c>
      <c r="C967" s="2" t="s">
        <v>10824</v>
      </c>
      <c r="D967" s="2" t="s">
        <v>10825</v>
      </c>
      <c r="F967" s="3" t="s">
        <v>61</v>
      </c>
      <c r="G967" s="3" t="s">
        <v>60</v>
      </c>
      <c r="H967" s="3" t="s">
        <v>61</v>
      </c>
      <c r="I967" s="3" t="s">
        <v>61</v>
      </c>
      <c r="J967" s="3" t="s">
        <v>62</v>
      </c>
      <c r="K967" s="2" t="s">
        <v>10826</v>
      </c>
      <c r="L967" s="2" t="s">
        <v>10827</v>
      </c>
      <c r="M967" s="3" t="s">
        <v>466</v>
      </c>
      <c r="O967" s="3" t="s">
        <v>114</v>
      </c>
      <c r="P967" s="3" t="s">
        <v>649</v>
      </c>
      <c r="R967" s="3" t="s">
        <v>68</v>
      </c>
      <c r="S967" s="4">
        <v>4</v>
      </c>
      <c r="T967" s="4">
        <v>4</v>
      </c>
      <c r="U967" s="5" t="s">
        <v>394</v>
      </c>
      <c r="V967" s="5" t="s">
        <v>394</v>
      </c>
      <c r="W967" s="5" t="s">
        <v>10753</v>
      </c>
      <c r="X967" s="5" t="s">
        <v>10753</v>
      </c>
      <c r="Y967" s="4">
        <v>91</v>
      </c>
      <c r="Z967" s="4">
        <v>82</v>
      </c>
      <c r="AA967" s="4">
        <v>462</v>
      </c>
      <c r="AB967" s="4">
        <v>1</v>
      </c>
      <c r="AC967" s="4">
        <v>4</v>
      </c>
      <c r="AD967" s="4">
        <v>2</v>
      </c>
      <c r="AE967" s="4">
        <v>17</v>
      </c>
      <c r="AF967" s="4">
        <v>1</v>
      </c>
      <c r="AG967" s="4">
        <v>4</v>
      </c>
      <c r="AH967" s="4">
        <v>1</v>
      </c>
      <c r="AI967" s="4">
        <v>3</v>
      </c>
      <c r="AJ967" s="4">
        <v>2</v>
      </c>
      <c r="AK967" s="4">
        <v>12</v>
      </c>
      <c r="AL967" s="4">
        <v>0</v>
      </c>
      <c r="AM967" s="4">
        <v>3</v>
      </c>
      <c r="AN967" s="4">
        <v>0</v>
      </c>
      <c r="AO967" s="4">
        <v>0</v>
      </c>
      <c r="AP967" s="3" t="s">
        <v>61</v>
      </c>
      <c r="AQ967" s="3" t="s">
        <v>61</v>
      </c>
      <c r="AS967" s="6" t="str">
        <f>HYPERLINK("https://creighton-primo.hosted.exlibrisgroup.com/primo-explore/search?tab=default_tab&amp;search_scope=EVERYTHING&amp;vid=01CRU&amp;lang=en_US&amp;offset=0&amp;query=any,contains,991004573139702656","Catalog Record")</f>
        <v>Catalog Record</v>
      </c>
      <c r="AT967" s="6" t="str">
        <f>HYPERLINK("http://www.worldcat.org/oclc/4036645","WorldCat Record")</f>
        <v>WorldCat Record</v>
      </c>
      <c r="AU967" s="3" t="s">
        <v>10828</v>
      </c>
      <c r="AV967" s="3" t="s">
        <v>10829</v>
      </c>
      <c r="AW967" s="3" t="s">
        <v>10830</v>
      </c>
      <c r="AX967" s="3" t="s">
        <v>10830</v>
      </c>
      <c r="AY967" s="3" t="s">
        <v>10831</v>
      </c>
      <c r="AZ967" s="3" t="s">
        <v>75</v>
      </c>
      <c r="BB967" s="3" t="s">
        <v>10832</v>
      </c>
      <c r="BC967" s="3" t="s">
        <v>10833</v>
      </c>
      <c r="BD967" s="3" t="s">
        <v>10834</v>
      </c>
    </row>
    <row r="968" spans="1:56" ht="44.25" customHeight="1" x14ac:dyDescent="0.25">
      <c r="A968" s="7" t="s">
        <v>61</v>
      </c>
      <c r="B968" s="2" t="s">
        <v>10835</v>
      </c>
      <c r="C968" s="2" t="s">
        <v>10836</v>
      </c>
      <c r="D968" s="2" t="s">
        <v>10837</v>
      </c>
      <c r="F968" s="3" t="s">
        <v>61</v>
      </c>
      <c r="G968" s="3" t="s">
        <v>60</v>
      </c>
      <c r="H968" s="3" t="s">
        <v>61</v>
      </c>
      <c r="I968" s="3" t="s">
        <v>61</v>
      </c>
      <c r="J968" s="3" t="s">
        <v>62</v>
      </c>
      <c r="K968" s="2" t="s">
        <v>6914</v>
      </c>
      <c r="L968" s="2" t="s">
        <v>10838</v>
      </c>
      <c r="M968" s="3" t="s">
        <v>350</v>
      </c>
      <c r="O968" s="3" t="s">
        <v>114</v>
      </c>
      <c r="P968" s="3" t="s">
        <v>235</v>
      </c>
      <c r="R968" s="3" t="s">
        <v>68</v>
      </c>
      <c r="S968" s="4">
        <v>2</v>
      </c>
      <c r="T968" s="4">
        <v>2</v>
      </c>
      <c r="U968" s="5" t="s">
        <v>10839</v>
      </c>
      <c r="V968" s="5" t="s">
        <v>10839</v>
      </c>
      <c r="W968" s="5" t="s">
        <v>10753</v>
      </c>
      <c r="X968" s="5" t="s">
        <v>10753</v>
      </c>
      <c r="Y968" s="4">
        <v>1263</v>
      </c>
      <c r="Z968" s="4">
        <v>1127</v>
      </c>
      <c r="AA968" s="4">
        <v>1141</v>
      </c>
      <c r="AB968" s="4">
        <v>9</v>
      </c>
      <c r="AC968" s="4">
        <v>9</v>
      </c>
      <c r="AD968" s="4">
        <v>37</v>
      </c>
      <c r="AE968" s="4">
        <v>37</v>
      </c>
      <c r="AF968" s="4">
        <v>16</v>
      </c>
      <c r="AG968" s="4">
        <v>16</v>
      </c>
      <c r="AH968" s="4">
        <v>9</v>
      </c>
      <c r="AI968" s="4">
        <v>9</v>
      </c>
      <c r="AJ968" s="4">
        <v>17</v>
      </c>
      <c r="AK968" s="4">
        <v>17</v>
      </c>
      <c r="AL968" s="4">
        <v>6</v>
      </c>
      <c r="AM968" s="4">
        <v>6</v>
      </c>
      <c r="AN968" s="4">
        <v>0</v>
      </c>
      <c r="AO968" s="4">
        <v>0</v>
      </c>
      <c r="AP968" s="3" t="s">
        <v>61</v>
      </c>
      <c r="AQ968" s="3" t="s">
        <v>59</v>
      </c>
      <c r="AR968" s="6" t="str">
        <f>HYPERLINK("http://catalog.hathitrust.org/Record/000299029","HathiTrust Record")</f>
        <v>HathiTrust Record</v>
      </c>
      <c r="AS968" s="6" t="str">
        <f>HYPERLINK("https://creighton-primo.hosted.exlibrisgroup.com/primo-explore/search?tab=default_tab&amp;search_scope=EVERYTHING&amp;vid=01CRU&amp;lang=en_US&amp;offset=0&amp;query=any,contains,991004730079702656","Catalog Record")</f>
        <v>Catalog Record</v>
      </c>
      <c r="AT968" s="6" t="str">
        <f>HYPERLINK("http://www.worldcat.org/oclc/4834201","WorldCat Record")</f>
        <v>WorldCat Record</v>
      </c>
      <c r="AU968" s="3" t="s">
        <v>10840</v>
      </c>
      <c r="AV968" s="3" t="s">
        <v>10841</v>
      </c>
      <c r="AW968" s="3" t="s">
        <v>10842</v>
      </c>
      <c r="AX968" s="3" t="s">
        <v>10842</v>
      </c>
      <c r="AY968" s="3" t="s">
        <v>10843</v>
      </c>
      <c r="AZ968" s="3" t="s">
        <v>75</v>
      </c>
      <c r="BB968" s="3" t="s">
        <v>10844</v>
      </c>
      <c r="BC968" s="3" t="s">
        <v>10845</v>
      </c>
      <c r="BD968" s="3" t="s">
        <v>10846</v>
      </c>
    </row>
    <row r="969" spans="1:56" ht="44.25" customHeight="1" x14ac:dyDescent="0.25">
      <c r="A969" s="7" t="s">
        <v>61</v>
      </c>
      <c r="B969" s="2" t="s">
        <v>10847</v>
      </c>
      <c r="C969" s="2" t="s">
        <v>10848</v>
      </c>
      <c r="D969" s="2" t="s">
        <v>10849</v>
      </c>
      <c r="F969" s="3" t="s">
        <v>61</v>
      </c>
      <c r="G969" s="3" t="s">
        <v>60</v>
      </c>
      <c r="H969" s="3" t="s">
        <v>61</v>
      </c>
      <c r="I969" s="3" t="s">
        <v>61</v>
      </c>
      <c r="J969" s="3" t="s">
        <v>62</v>
      </c>
      <c r="K969" s="2" t="s">
        <v>10850</v>
      </c>
      <c r="L969" s="2" t="s">
        <v>10851</v>
      </c>
      <c r="M969" s="3" t="s">
        <v>5326</v>
      </c>
      <c r="O969" s="3" t="s">
        <v>114</v>
      </c>
      <c r="P969" s="3" t="s">
        <v>1494</v>
      </c>
      <c r="R969" s="3" t="s">
        <v>68</v>
      </c>
      <c r="S969" s="4">
        <v>2</v>
      </c>
      <c r="T969" s="4">
        <v>2</v>
      </c>
      <c r="U969" s="5" t="s">
        <v>4479</v>
      </c>
      <c r="V969" s="5" t="s">
        <v>4479</v>
      </c>
      <c r="W969" s="5" t="s">
        <v>10401</v>
      </c>
      <c r="X969" s="5" t="s">
        <v>10401</v>
      </c>
      <c r="Y969" s="4">
        <v>345</v>
      </c>
      <c r="Z969" s="4">
        <v>329</v>
      </c>
      <c r="AA969" s="4">
        <v>417</v>
      </c>
      <c r="AB969" s="4">
        <v>2</v>
      </c>
      <c r="AC969" s="4">
        <v>4</v>
      </c>
      <c r="AD969" s="4">
        <v>11</v>
      </c>
      <c r="AE969" s="4">
        <v>17</v>
      </c>
      <c r="AF969" s="4">
        <v>6</v>
      </c>
      <c r="AG969" s="4">
        <v>7</v>
      </c>
      <c r="AH969" s="4">
        <v>1</v>
      </c>
      <c r="AI969" s="4">
        <v>2</v>
      </c>
      <c r="AJ969" s="4">
        <v>4</v>
      </c>
      <c r="AK969" s="4">
        <v>7</v>
      </c>
      <c r="AL969" s="4">
        <v>1</v>
      </c>
      <c r="AM969" s="4">
        <v>3</v>
      </c>
      <c r="AN969" s="4">
        <v>0</v>
      </c>
      <c r="AO969" s="4">
        <v>0</v>
      </c>
      <c r="AP969" s="3" t="s">
        <v>61</v>
      </c>
      <c r="AQ969" s="3" t="s">
        <v>59</v>
      </c>
      <c r="AR969" s="6" t="str">
        <f>HYPERLINK("http://catalog.hathitrust.org/Record/000593818","HathiTrust Record")</f>
        <v>HathiTrust Record</v>
      </c>
      <c r="AS969" s="6" t="str">
        <f>HYPERLINK("https://creighton-primo.hosted.exlibrisgroup.com/primo-explore/search?tab=default_tab&amp;search_scope=EVERYTHING&amp;vid=01CRU&amp;lang=en_US&amp;offset=0&amp;query=any,contains,991001313449702656","Catalog Record")</f>
        <v>Catalog Record</v>
      </c>
      <c r="AT969" s="6" t="str">
        <f>HYPERLINK("http://www.worldcat.org/oclc/220700","WorldCat Record")</f>
        <v>WorldCat Record</v>
      </c>
      <c r="AU969" s="3" t="s">
        <v>10852</v>
      </c>
      <c r="AV969" s="3" t="s">
        <v>10853</v>
      </c>
      <c r="AW969" s="3" t="s">
        <v>10854</v>
      </c>
      <c r="AX969" s="3" t="s">
        <v>10854</v>
      </c>
      <c r="AY969" s="3" t="s">
        <v>10855</v>
      </c>
      <c r="AZ969" s="3" t="s">
        <v>75</v>
      </c>
      <c r="BC969" s="3" t="s">
        <v>10856</v>
      </c>
      <c r="BD969" s="3" t="s">
        <v>10857</v>
      </c>
    </row>
    <row r="970" spans="1:56" ht="44.25" customHeight="1" x14ac:dyDescent="0.25">
      <c r="A970" s="7" t="s">
        <v>61</v>
      </c>
      <c r="B970" s="2" t="s">
        <v>10858</v>
      </c>
      <c r="C970" s="2" t="s">
        <v>10859</v>
      </c>
      <c r="D970" s="2" t="s">
        <v>10860</v>
      </c>
      <c r="E970" s="3" t="s">
        <v>84</v>
      </c>
      <c r="F970" s="3" t="s">
        <v>59</v>
      </c>
      <c r="G970" s="3" t="s">
        <v>60</v>
      </c>
      <c r="H970" s="3" t="s">
        <v>61</v>
      </c>
      <c r="I970" s="3" t="s">
        <v>61</v>
      </c>
      <c r="J970" s="3" t="s">
        <v>62</v>
      </c>
      <c r="K970" s="2" t="s">
        <v>10861</v>
      </c>
      <c r="L970" s="2" t="s">
        <v>10862</v>
      </c>
      <c r="M970" s="3" t="s">
        <v>8273</v>
      </c>
      <c r="O970" s="3" t="s">
        <v>114</v>
      </c>
      <c r="P970" s="3" t="s">
        <v>235</v>
      </c>
      <c r="R970" s="3" t="s">
        <v>68</v>
      </c>
      <c r="S970" s="4">
        <v>10</v>
      </c>
      <c r="T970" s="4">
        <v>10</v>
      </c>
      <c r="U970" s="5" t="s">
        <v>6339</v>
      </c>
      <c r="V970" s="5" t="s">
        <v>6339</v>
      </c>
      <c r="W970" s="5" t="s">
        <v>10863</v>
      </c>
      <c r="X970" s="5" t="s">
        <v>10863</v>
      </c>
      <c r="Y970" s="4">
        <v>736</v>
      </c>
      <c r="Z970" s="4">
        <v>687</v>
      </c>
      <c r="AA970" s="4">
        <v>697</v>
      </c>
      <c r="AB970" s="4">
        <v>7</v>
      </c>
      <c r="AC970" s="4">
        <v>7</v>
      </c>
      <c r="AD970" s="4">
        <v>31</v>
      </c>
      <c r="AE970" s="4">
        <v>31</v>
      </c>
      <c r="AF970" s="4">
        <v>12</v>
      </c>
      <c r="AG970" s="4">
        <v>12</v>
      </c>
      <c r="AH970" s="4">
        <v>8</v>
      </c>
      <c r="AI970" s="4">
        <v>8</v>
      </c>
      <c r="AJ970" s="4">
        <v>14</v>
      </c>
      <c r="AK970" s="4">
        <v>14</v>
      </c>
      <c r="AL970" s="4">
        <v>5</v>
      </c>
      <c r="AM970" s="4">
        <v>5</v>
      </c>
      <c r="AN970" s="4">
        <v>0</v>
      </c>
      <c r="AO970" s="4">
        <v>0</v>
      </c>
      <c r="AP970" s="3" t="s">
        <v>61</v>
      </c>
      <c r="AQ970" s="3" t="s">
        <v>59</v>
      </c>
      <c r="AR970" s="6" t="str">
        <f>HYPERLINK("http://catalog.hathitrust.org/Record/000812989","HathiTrust Record")</f>
        <v>HathiTrust Record</v>
      </c>
      <c r="AS970" s="6" t="str">
        <f>HYPERLINK("https://creighton-primo.hosted.exlibrisgroup.com/primo-explore/search?tab=default_tab&amp;search_scope=EVERYTHING&amp;vid=01CRU&amp;lang=en_US&amp;offset=0&amp;query=any,contains,991003310389702656","Catalog Record")</f>
        <v>Catalog Record</v>
      </c>
      <c r="AT970" s="6" t="str">
        <f>HYPERLINK("http://www.worldcat.org/oclc/834294","WorldCat Record")</f>
        <v>WorldCat Record</v>
      </c>
      <c r="AU970" s="3" t="s">
        <v>10864</v>
      </c>
      <c r="AV970" s="3" t="s">
        <v>10865</v>
      </c>
      <c r="AW970" s="3" t="s">
        <v>10866</v>
      </c>
      <c r="AX970" s="3" t="s">
        <v>10866</v>
      </c>
      <c r="AY970" s="3" t="s">
        <v>10867</v>
      </c>
      <c r="AZ970" s="3" t="s">
        <v>75</v>
      </c>
      <c r="BC970" s="3" t="s">
        <v>10868</v>
      </c>
      <c r="BD970" s="3" t="s">
        <v>10869</v>
      </c>
    </row>
    <row r="971" spans="1:56" ht="44.25" customHeight="1" x14ac:dyDescent="0.25">
      <c r="A971" s="7" t="s">
        <v>61</v>
      </c>
      <c r="B971" s="2" t="s">
        <v>10858</v>
      </c>
      <c r="C971" s="2" t="s">
        <v>10859</v>
      </c>
      <c r="D971" s="2" t="s">
        <v>10860</v>
      </c>
      <c r="E971" s="3" t="s">
        <v>141</v>
      </c>
      <c r="F971" s="3" t="s">
        <v>59</v>
      </c>
      <c r="G971" s="3" t="s">
        <v>60</v>
      </c>
      <c r="H971" s="3" t="s">
        <v>61</v>
      </c>
      <c r="I971" s="3" t="s">
        <v>61</v>
      </c>
      <c r="J971" s="3" t="s">
        <v>62</v>
      </c>
      <c r="K971" s="2" t="s">
        <v>10861</v>
      </c>
      <c r="L971" s="2" t="s">
        <v>10862</v>
      </c>
      <c r="M971" s="3" t="s">
        <v>8273</v>
      </c>
      <c r="O971" s="3" t="s">
        <v>114</v>
      </c>
      <c r="P971" s="3" t="s">
        <v>235</v>
      </c>
      <c r="R971" s="3" t="s">
        <v>68</v>
      </c>
      <c r="S971" s="4">
        <v>0</v>
      </c>
      <c r="T971" s="4">
        <v>10</v>
      </c>
      <c r="V971" s="5" t="s">
        <v>6339</v>
      </c>
      <c r="W971" s="5" t="s">
        <v>7080</v>
      </c>
      <c r="X971" s="5" t="s">
        <v>10863</v>
      </c>
      <c r="Y971" s="4">
        <v>736</v>
      </c>
      <c r="Z971" s="4">
        <v>687</v>
      </c>
      <c r="AA971" s="4">
        <v>697</v>
      </c>
      <c r="AB971" s="4">
        <v>7</v>
      </c>
      <c r="AC971" s="4">
        <v>7</v>
      </c>
      <c r="AD971" s="4">
        <v>31</v>
      </c>
      <c r="AE971" s="4">
        <v>31</v>
      </c>
      <c r="AF971" s="4">
        <v>12</v>
      </c>
      <c r="AG971" s="4">
        <v>12</v>
      </c>
      <c r="AH971" s="4">
        <v>8</v>
      </c>
      <c r="AI971" s="4">
        <v>8</v>
      </c>
      <c r="AJ971" s="4">
        <v>14</v>
      </c>
      <c r="AK971" s="4">
        <v>14</v>
      </c>
      <c r="AL971" s="4">
        <v>5</v>
      </c>
      <c r="AM971" s="4">
        <v>5</v>
      </c>
      <c r="AN971" s="4">
        <v>0</v>
      </c>
      <c r="AO971" s="4">
        <v>0</v>
      </c>
      <c r="AP971" s="3" t="s">
        <v>61</v>
      </c>
      <c r="AQ971" s="3" t="s">
        <v>59</v>
      </c>
      <c r="AR971" s="6" t="str">
        <f>HYPERLINK("http://catalog.hathitrust.org/Record/000812989","HathiTrust Record")</f>
        <v>HathiTrust Record</v>
      </c>
      <c r="AS971" s="6" t="str">
        <f>HYPERLINK("https://creighton-primo.hosted.exlibrisgroup.com/primo-explore/search?tab=default_tab&amp;search_scope=EVERYTHING&amp;vid=01CRU&amp;lang=en_US&amp;offset=0&amp;query=any,contains,991003310389702656","Catalog Record")</f>
        <v>Catalog Record</v>
      </c>
      <c r="AT971" s="6" t="str">
        <f>HYPERLINK("http://www.worldcat.org/oclc/834294","WorldCat Record")</f>
        <v>WorldCat Record</v>
      </c>
      <c r="AU971" s="3" t="s">
        <v>10864</v>
      </c>
      <c r="AV971" s="3" t="s">
        <v>10865</v>
      </c>
      <c r="AW971" s="3" t="s">
        <v>10866</v>
      </c>
      <c r="AX971" s="3" t="s">
        <v>10866</v>
      </c>
      <c r="AY971" s="3" t="s">
        <v>10867</v>
      </c>
      <c r="AZ971" s="3" t="s">
        <v>75</v>
      </c>
      <c r="BC971" s="3" t="s">
        <v>10870</v>
      </c>
      <c r="BD971" s="3" t="s">
        <v>10871</v>
      </c>
    </row>
    <row r="972" spans="1:56" ht="44.25" customHeight="1" x14ac:dyDescent="0.25">
      <c r="A972" s="7" t="s">
        <v>61</v>
      </c>
      <c r="B972" s="2" t="s">
        <v>10872</v>
      </c>
      <c r="C972" s="2" t="s">
        <v>10873</v>
      </c>
      <c r="D972" s="2" t="s">
        <v>10874</v>
      </c>
      <c r="F972" s="3" t="s">
        <v>61</v>
      </c>
      <c r="G972" s="3" t="s">
        <v>60</v>
      </c>
      <c r="H972" s="3" t="s">
        <v>61</v>
      </c>
      <c r="I972" s="3" t="s">
        <v>61</v>
      </c>
      <c r="J972" s="3" t="s">
        <v>62</v>
      </c>
      <c r="K972" s="2" t="s">
        <v>10875</v>
      </c>
      <c r="L972" s="2" t="s">
        <v>10876</v>
      </c>
      <c r="M972" s="3" t="s">
        <v>552</v>
      </c>
      <c r="O972" s="3" t="s">
        <v>114</v>
      </c>
      <c r="P972" s="3" t="s">
        <v>115</v>
      </c>
      <c r="R972" s="3" t="s">
        <v>68</v>
      </c>
      <c r="S972" s="4">
        <v>3</v>
      </c>
      <c r="T972" s="4">
        <v>3</v>
      </c>
      <c r="U972" s="5" t="s">
        <v>10877</v>
      </c>
      <c r="V972" s="5" t="s">
        <v>10877</v>
      </c>
      <c r="W972" s="5" t="s">
        <v>10878</v>
      </c>
      <c r="X972" s="5" t="s">
        <v>10878</v>
      </c>
      <c r="Y972" s="4">
        <v>207</v>
      </c>
      <c r="Z972" s="4">
        <v>178</v>
      </c>
      <c r="AA972" s="4">
        <v>2236</v>
      </c>
      <c r="AB972" s="4">
        <v>2</v>
      </c>
      <c r="AC972" s="4">
        <v>23</v>
      </c>
      <c r="AD972" s="4">
        <v>4</v>
      </c>
      <c r="AE972" s="4">
        <v>61</v>
      </c>
      <c r="AF972" s="4">
        <v>2</v>
      </c>
      <c r="AG972" s="4">
        <v>25</v>
      </c>
      <c r="AH972" s="4">
        <v>1</v>
      </c>
      <c r="AI972" s="4">
        <v>10</v>
      </c>
      <c r="AJ972" s="4">
        <v>2</v>
      </c>
      <c r="AK972" s="4">
        <v>25</v>
      </c>
      <c r="AL972" s="4">
        <v>0</v>
      </c>
      <c r="AM972" s="4">
        <v>12</v>
      </c>
      <c r="AN972" s="4">
        <v>0</v>
      </c>
      <c r="AO972" s="4">
        <v>1</v>
      </c>
      <c r="AP972" s="3" t="s">
        <v>61</v>
      </c>
      <c r="AQ972" s="3" t="s">
        <v>61</v>
      </c>
      <c r="AS972" s="6" t="str">
        <f>HYPERLINK("https://creighton-primo.hosted.exlibrisgroup.com/primo-explore/search?tab=default_tab&amp;search_scope=EVERYTHING&amp;vid=01CRU&amp;lang=en_US&amp;offset=0&amp;query=any,contains,991001522119702656","Catalog Record")</f>
        <v>Catalog Record</v>
      </c>
      <c r="AT972" s="6" t="str">
        <f>HYPERLINK("http://www.worldcat.org/oclc/19981396","WorldCat Record")</f>
        <v>WorldCat Record</v>
      </c>
      <c r="AU972" s="3" t="s">
        <v>10879</v>
      </c>
      <c r="AV972" s="3" t="s">
        <v>10880</v>
      </c>
      <c r="AW972" s="3" t="s">
        <v>10881</v>
      </c>
      <c r="AX972" s="3" t="s">
        <v>10881</v>
      </c>
      <c r="AY972" s="3" t="s">
        <v>10882</v>
      </c>
      <c r="AZ972" s="3" t="s">
        <v>75</v>
      </c>
      <c r="BB972" s="3" t="s">
        <v>10883</v>
      </c>
      <c r="BC972" s="3" t="s">
        <v>10884</v>
      </c>
      <c r="BD972" s="3" t="s">
        <v>10885</v>
      </c>
    </row>
    <row r="973" spans="1:56" ht="44.25" customHeight="1" x14ac:dyDescent="0.25">
      <c r="A973" s="7" t="s">
        <v>61</v>
      </c>
      <c r="B973" s="2" t="s">
        <v>10886</v>
      </c>
      <c r="C973" s="2" t="s">
        <v>10887</v>
      </c>
      <c r="D973" s="2" t="s">
        <v>10888</v>
      </c>
      <c r="F973" s="3" t="s">
        <v>61</v>
      </c>
      <c r="G973" s="3" t="s">
        <v>60</v>
      </c>
      <c r="H973" s="3" t="s">
        <v>61</v>
      </c>
      <c r="I973" s="3" t="s">
        <v>61</v>
      </c>
      <c r="J973" s="3" t="s">
        <v>62</v>
      </c>
      <c r="K973" s="2" t="s">
        <v>10889</v>
      </c>
      <c r="L973" s="2" t="s">
        <v>10890</v>
      </c>
      <c r="M973" s="3" t="s">
        <v>1507</v>
      </c>
      <c r="O973" s="3" t="s">
        <v>114</v>
      </c>
      <c r="P973" s="3" t="s">
        <v>649</v>
      </c>
      <c r="R973" s="3" t="s">
        <v>68</v>
      </c>
      <c r="S973" s="4">
        <v>1</v>
      </c>
      <c r="T973" s="4">
        <v>1</v>
      </c>
      <c r="U973" s="5" t="s">
        <v>10891</v>
      </c>
      <c r="V973" s="5" t="s">
        <v>10891</v>
      </c>
      <c r="W973" s="5" t="s">
        <v>10401</v>
      </c>
      <c r="X973" s="5" t="s">
        <v>10401</v>
      </c>
      <c r="Y973" s="4">
        <v>93</v>
      </c>
      <c r="Z973" s="4">
        <v>83</v>
      </c>
      <c r="AA973" s="4">
        <v>389</v>
      </c>
      <c r="AB973" s="4">
        <v>1</v>
      </c>
      <c r="AC973" s="4">
        <v>2</v>
      </c>
      <c r="AD973" s="4">
        <v>3</v>
      </c>
      <c r="AE973" s="4">
        <v>8</v>
      </c>
      <c r="AF973" s="4">
        <v>1</v>
      </c>
      <c r="AG973" s="4">
        <v>3</v>
      </c>
      <c r="AH973" s="4">
        <v>1</v>
      </c>
      <c r="AI973" s="4">
        <v>2</v>
      </c>
      <c r="AJ973" s="4">
        <v>1</v>
      </c>
      <c r="AK973" s="4">
        <v>5</v>
      </c>
      <c r="AL973" s="4">
        <v>0</v>
      </c>
      <c r="AM973" s="4">
        <v>0</v>
      </c>
      <c r="AN973" s="4">
        <v>0</v>
      </c>
      <c r="AO973" s="4">
        <v>0</v>
      </c>
      <c r="AP973" s="3" t="s">
        <v>61</v>
      </c>
      <c r="AQ973" s="3" t="s">
        <v>59</v>
      </c>
      <c r="AR973" s="6" t="str">
        <f>HYPERLINK("http://catalog.hathitrust.org/Record/007528472","HathiTrust Record")</f>
        <v>HathiTrust Record</v>
      </c>
      <c r="AS973" s="6" t="str">
        <f>HYPERLINK("https://creighton-primo.hosted.exlibrisgroup.com/primo-explore/search?tab=default_tab&amp;search_scope=EVERYTHING&amp;vid=01CRU&amp;lang=en_US&amp;offset=0&amp;query=any,contains,991003408789702656","Catalog Record")</f>
        <v>Catalog Record</v>
      </c>
      <c r="AT973" s="6" t="str">
        <f>HYPERLINK("http://www.worldcat.org/oclc/947871","WorldCat Record")</f>
        <v>WorldCat Record</v>
      </c>
      <c r="AU973" s="3" t="s">
        <v>10892</v>
      </c>
      <c r="AV973" s="3" t="s">
        <v>10893</v>
      </c>
      <c r="AW973" s="3" t="s">
        <v>10894</v>
      </c>
      <c r="AX973" s="3" t="s">
        <v>10894</v>
      </c>
      <c r="AY973" s="3" t="s">
        <v>10895</v>
      </c>
      <c r="AZ973" s="3" t="s">
        <v>75</v>
      </c>
      <c r="BB973" s="3" t="s">
        <v>10896</v>
      </c>
      <c r="BC973" s="3" t="s">
        <v>10897</v>
      </c>
      <c r="BD973" s="3" t="s">
        <v>10898</v>
      </c>
    </row>
    <row r="974" spans="1:56" ht="44.25" customHeight="1" x14ac:dyDescent="0.25">
      <c r="A974" s="7" t="s">
        <v>61</v>
      </c>
      <c r="B974" s="2" t="s">
        <v>10899</v>
      </c>
      <c r="C974" s="2" t="s">
        <v>10900</v>
      </c>
      <c r="D974" s="2" t="s">
        <v>10901</v>
      </c>
      <c r="F974" s="3" t="s">
        <v>61</v>
      </c>
      <c r="G974" s="3" t="s">
        <v>60</v>
      </c>
      <c r="H974" s="3" t="s">
        <v>61</v>
      </c>
      <c r="I974" s="3" t="s">
        <v>61</v>
      </c>
      <c r="J974" s="3" t="s">
        <v>62</v>
      </c>
      <c r="K974" s="2" t="s">
        <v>10902</v>
      </c>
      <c r="L974" s="2" t="s">
        <v>10903</v>
      </c>
      <c r="M974" s="3" t="s">
        <v>3218</v>
      </c>
      <c r="O974" s="3" t="s">
        <v>114</v>
      </c>
      <c r="P974" s="3" t="s">
        <v>235</v>
      </c>
      <c r="R974" s="3" t="s">
        <v>68</v>
      </c>
      <c r="S974" s="4">
        <v>1</v>
      </c>
      <c r="T974" s="4">
        <v>1</v>
      </c>
      <c r="U974" s="5" t="s">
        <v>10904</v>
      </c>
      <c r="V974" s="5" t="s">
        <v>10904</v>
      </c>
      <c r="W974" s="5" t="s">
        <v>10401</v>
      </c>
      <c r="X974" s="5" t="s">
        <v>10401</v>
      </c>
      <c r="Y974" s="4">
        <v>248</v>
      </c>
      <c r="Z974" s="4">
        <v>237</v>
      </c>
      <c r="AA974" s="4">
        <v>247</v>
      </c>
      <c r="AB974" s="4">
        <v>3</v>
      </c>
      <c r="AC974" s="4">
        <v>3</v>
      </c>
      <c r="AD974" s="4">
        <v>6</v>
      </c>
      <c r="AE974" s="4">
        <v>7</v>
      </c>
      <c r="AF974" s="4">
        <v>2</v>
      </c>
      <c r="AG974" s="4">
        <v>2</v>
      </c>
      <c r="AH974" s="4">
        <v>1</v>
      </c>
      <c r="AI974" s="4">
        <v>1</v>
      </c>
      <c r="AJ974" s="4">
        <v>1</v>
      </c>
      <c r="AK974" s="4">
        <v>2</v>
      </c>
      <c r="AL974" s="4">
        <v>2</v>
      </c>
      <c r="AM974" s="4">
        <v>2</v>
      </c>
      <c r="AN974" s="4">
        <v>0</v>
      </c>
      <c r="AO974" s="4">
        <v>0</v>
      </c>
      <c r="AP974" s="3" t="s">
        <v>59</v>
      </c>
      <c r="AQ974" s="3" t="s">
        <v>61</v>
      </c>
      <c r="AR974" s="6" t="str">
        <f>HYPERLINK("http://catalog.hathitrust.org/Record/000593497","HathiTrust Record")</f>
        <v>HathiTrust Record</v>
      </c>
      <c r="AS974" s="6" t="str">
        <f>HYPERLINK("https://creighton-primo.hosted.exlibrisgroup.com/primo-explore/search?tab=default_tab&amp;search_scope=EVERYTHING&amp;vid=01CRU&amp;lang=en_US&amp;offset=0&amp;query=any,contains,991003656589702656","Catalog Record")</f>
        <v>Catalog Record</v>
      </c>
      <c r="AT974" s="6" t="str">
        <f>HYPERLINK("http://www.worldcat.org/oclc/1261684","WorldCat Record")</f>
        <v>WorldCat Record</v>
      </c>
      <c r="AU974" s="3" t="s">
        <v>10905</v>
      </c>
      <c r="AV974" s="3" t="s">
        <v>10906</v>
      </c>
      <c r="AW974" s="3" t="s">
        <v>10907</v>
      </c>
      <c r="AX974" s="3" t="s">
        <v>10907</v>
      </c>
      <c r="AY974" s="3" t="s">
        <v>10908</v>
      </c>
      <c r="AZ974" s="3" t="s">
        <v>75</v>
      </c>
      <c r="BC974" s="3" t="s">
        <v>10909</v>
      </c>
      <c r="BD974" s="3" t="s">
        <v>10910</v>
      </c>
    </row>
    <row r="975" spans="1:56" ht="44.25" customHeight="1" x14ac:dyDescent="0.25">
      <c r="A975" s="7" t="s">
        <v>61</v>
      </c>
      <c r="B975" s="2" t="s">
        <v>10911</v>
      </c>
      <c r="C975" s="2" t="s">
        <v>10912</v>
      </c>
      <c r="D975" s="2" t="s">
        <v>10913</v>
      </c>
      <c r="F975" s="3" t="s">
        <v>61</v>
      </c>
      <c r="G975" s="3" t="s">
        <v>60</v>
      </c>
      <c r="H975" s="3" t="s">
        <v>61</v>
      </c>
      <c r="I975" s="3" t="s">
        <v>61</v>
      </c>
      <c r="J975" s="3" t="s">
        <v>62</v>
      </c>
      <c r="K975" s="2" t="s">
        <v>10547</v>
      </c>
      <c r="L975" s="2" t="s">
        <v>10914</v>
      </c>
      <c r="M975" s="3" t="s">
        <v>7375</v>
      </c>
      <c r="O975" s="3" t="s">
        <v>114</v>
      </c>
      <c r="P975" s="3" t="s">
        <v>619</v>
      </c>
      <c r="R975" s="3" t="s">
        <v>68</v>
      </c>
      <c r="S975" s="4">
        <v>3</v>
      </c>
      <c r="T975" s="4">
        <v>3</v>
      </c>
      <c r="U975" s="5" t="s">
        <v>10915</v>
      </c>
      <c r="V975" s="5" t="s">
        <v>10915</v>
      </c>
      <c r="W975" s="5" t="s">
        <v>10916</v>
      </c>
      <c r="X975" s="5" t="s">
        <v>10916</v>
      </c>
      <c r="Y975" s="4">
        <v>235</v>
      </c>
      <c r="Z975" s="4">
        <v>216</v>
      </c>
      <c r="AA975" s="4">
        <v>333</v>
      </c>
      <c r="AB975" s="4">
        <v>4</v>
      </c>
      <c r="AC975" s="4">
        <v>4</v>
      </c>
      <c r="AD975" s="4">
        <v>5</v>
      </c>
      <c r="AE975" s="4">
        <v>9</v>
      </c>
      <c r="AF975" s="4">
        <v>1</v>
      </c>
      <c r="AG975" s="4">
        <v>4</v>
      </c>
      <c r="AH975" s="4">
        <v>0</v>
      </c>
      <c r="AI975" s="4">
        <v>2</v>
      </c>
      <c r="AJ975" s="4">
        <v>1</v>
      </c>
      <c r="AK975" s="4">
        <v>1</v>
      </c>
      <c r="AL975" s="4">
        <v>3</v>
      </c>
      <c r="AM975" s="4">
        <v>3</v>
      </c>
      <c r="AN975" s="4">
        <v>0</v>
      </c>
      <c r="AO975" s="4">
        <v>0</v>
      </c>
      <c r="AP975" s="3" t="s">
        <v>59</v>
      </c>
      <c r="AQ975" s="3" t="s">
        <v>61</v>
      </c>
      <c r="AR975" s="6" t="str">
        <f>HYPERLINK("http://catalog.hathitrust.org/Record/010516746","HathiTrust Record")</f>
        <v>HathiTrust Record</v>
      </c>
      <c r="AS975" s="6" t="str">
        <f>HYPERLINK("https://creighton-primo.hosted.exlibrisgroup.com/primo-explore/search?tab=default_tab&amp;search_scope=EVERYTHING&amp;vid=01CRU&amp;lang=en_US&amp;offset=0&amp;query=any,contains,991004532519702656","Catalog Record")</f>
        <v>Catalog Record</v>
      </c>
      <c r="AT975" s="6" t="str">
        <f>HYPERLINK("http://www.worldcat.org/oclc/3856095","WorldCat Record")</f>
        <v>WorldCat Record</v>
      </c>
      <c r="AU975" s="3" t="s">
        <v>10917</v>
      </c>
      <c r="AV975" s="3" t="s">
        <v>10918</v>
      </c>
      <c r="AW975" s="3" t="s">
        <v>10919</v>
      </c>
      <c r="AX975" s="3" t="s">
        <v>10919</v>
      </c>
      <c r="AY975" s="3" t="s">
        <v>10920</v>
      </c>
      <c r="AZ975" s="3" t="s">
        <v>75</v>
      </c>
      <c r="BC975" s="3" t="s">
        <v>10921</v>
      </c>
      <c r="BD975" s="3" t="s">
        <v>10922</v>
      </c>
    </row>
    <row r="976" spans="1:56" ht="44.25" customHeight="1" x14ac:dyDescent="0.25">
      <c r="A976" s="7" t="s">
        <v>61</v>
      </c>
      <c r="B976" s="2" t="s">
        <v>10923</v>
      </c>
      <c r="C976" s="2" t="s">
        <v>10924</v>
      </c>
      <c r="D976" s="2" t="s">
        <v>10925</v>
      </c>
      <c r="F976" s="3" t="s">
        <v>61</v>
      </c>
      <c r="G976" s="3" t="s">
        <v>60</v>
      </c>
      <c r="H976" s="3" t="s">
        <v>61</v>
      </c>
      <c r="I976" s="3" t="s">
        <v>61</v>
      </c>
      <c r="J976" s="3" t="s">
        <v>62</v>
      </c>
      <c r="L976" s="2" t="s">
        <v>10926</v>
      </c>
      <c r="M976" s="3" t="s">
        <v>579</v>
      </c>
      <c r="N976" s="2" t="s">
        <v>10927</v>
      </c>
      <c r="O976" s="3" t="s">
        <v>114</v>
      </c>
      <c r="P976" s="3" t="s">
        <v>2432</v>
      </c>
      <c r="R976" s="3" t="s">
        <v>68</v>
      </c>
      <c r="S976" s="4">
        <v>4</v>
      </c>
      <c r="T976" s="4">
        <v>4</v>
      </c>
      <c r="U976" s="5" t="s">
        <v>10928</v>
      </c>
      <c r="V976" s="5" t="s">
        <v>10928</v>
      </c>
      <c r="W976" s="5" t="s">
        <v>5368</v>
      </c>
      <c r="X976" s="5" t="s">
        <v>5368</v>
      </c>
      <c r="Y976" s="4">
        <v>298</v>
      </c>
      <c r="Z976" s="4">
        <v>246</v>
      </c>
      <c r="AA976" s="4">
        <v>268</v>
      </c>
      <c r="AB976" s="4">
        <v>2</v>
      </c>
      <c r="AC976" s="4">
        <v>2</v>
      </c>
      <c r="AD976" s="4">
        <v>11</v>
      </c>
      <c r="AE976" s="4">
        <v>11</v>
      </c>
      <c r="AF976" s="4">
        <v>4</v>
      </c>
      <c r="AG976" s="4">
        <v>4</v>
      </c>
      <c r="AH976" s="4">
        <v>1</v>
      </c>
      <c r="AI976" s="4">
        <v>1</v>
      </c>
      <c r="AJ976" s="4">
        <v>7</v>
      </c>
      <c r="AK976" s="4">
        <v>7</v>
      </c>
      <c r="AL976" s="4">
        <v>1</v>
      </c>
      <c r="AM976" s="4">
        <v>1</v>
      </c>
      <c r="AN976" s="4">
        <v>0</v>
      </c>
      <c r="AO976" s="4">
        <v>0</v>
      </c>
      <c r="AP976" s="3" t="s">
        <v>61</v>
      </c>
      <c r="AQ976" s="3" t="s">
        <v>59</v>
      </c>
      <c r="AR976" s="6" t="str">
        <f>HYPERLINK("http://catalog.hathitrust.org/Record/000829160","HathiTrust Record")</f>
        <v>HathiTrust Record</v>
      </c>
      <c r="AS976" s="6" t="str">
        <f>HYPERLINK("https://creighton-primo.hosted.exlibrisgroup.com/primo-explore/search?tab=default_tab&amp;search_scope=EVERYTHING&amp;vid=01CRU&amp;lang=en_US&amp;offset=0&amp;query=any,contains,991000845769702656","Catalog Record")</f>
        <v>Catalog Record</v>
      </c>
      <c r="AT976" s="6" t="str">
        <f>HYPERLINK("http://www.worldcat.org/oclc/13560220","WorldCat Record")</f>
        <v>WorldCat Record</v>
      </c>
      <c r="AU976" s="3" t="s">
        <v>10929</v>
      </c>
      <c r="AV976" s="3" t="s">
        <v>10930</v>
      </c>
      <c r="AW976" s="3" t="s">
        <v>10931</v>
      </c>
      <c r="AX976" s="3" t="s">
        <v>10931</v>
      </c>
      <c r="AY976" s="3" t="s">
        <v>10932</v>
      </c>
      <c r="AZ976" s="3" t="s">
        <v>75</v>
      </c>
      <c r="BB976" s="3" t="s">
        <v>10933</v>
      </c>
      <c r="BC976" s="3" t="s">
        <v>10934</v>
      </c>
      <c r="BD976" s="3" t="s">
        <v>10935</v>
      </c>
    </row>
    <row r="977" spans="1:56" ht="44.25" customHeight="1" x14ac:dyDescent="0.25">
      <c r="A977" s="7" t="s">
        <v>61</v>
      </c>
      <c r="B977" s="2" t="s">
        <v>10936</v>
      </c>
      <c r="C977" s="2" t="s">
        <v>10937</v>
      </c>
      <c r="D977" s="2" t="s">
        <v>10938</v>
      </c>
      <c r="F977" s="3" t="s">
        <v>61</v>
      </c>
      <c r="G977" s="3" t="s">
        <v>60</v>
      </c>
      <c r="H977" s="3" t="s">
        <v>61</v>
      </c>
      <c r="I977" s="3" t="s">
        <v>61</v>
      </c>
      <c r="J977" s="3" t="s">
        <v>62</v>
      </c>
      <c r="K977" s="2" t="s">
        <v>10939</v>
      </c>
      <c r="L977" s="2" t="s">
        <v>10940</v>
      </c>
      <c r="M977" s="3" t="s">
        <v>422</v>
      </c>
      <c r="N977" s="2" t="s">
        <v>4680</v>
      </c>
      <c r="O977" s="3" t="s">
        <v>114</v>
      </c>
      <c r="P977" s="3" t="s">
        <v>235</v>
      </c>
      <c r="R977" s="3" t="s">
        <v>68</v>
      </c>
      <c r="S977" s="4">
        <v>7</v>
      </c>
      <c r="T977" s="4">
        <v>7</v>
      </c>
      <c r="U977" s="5" t="s">
        <v>10139</v>
      </c>
      <c r="V977" s="5" t="s">
        <v>10139</v>
      </c>
      <c r="W977" s="5" t="s">
        <v>10941</v>
      </c>
      <c r="X977" s="5" t="s">
        <v>10941</v>
      </c>
      <c r="Y977" s="4">
        <v>71</v>
      </c>
      <c r="Z977" s="4">
        <v>61</v>
      </c>
      <c r="AA977" s="4">
        <v>1157</v>
      </c>
      <c r="AB977" s="4">
        <v>1</v>
      </c>
      <c r="AC977" s="4">
        <v>10</v>
      </c>
      <c r="AD977" s="4">
        <v>0</v>
      </c>
      <c r="AE977" s="4">
        <v>25</v>
      </c>
      <c r="AF977" s="4">
        <v>0</v>
      </c>
      <c r="AG977" s="4">
        <v>6</v>
      </c>
      <c r="AH977" s="4">
        <v>0</v>
      </c>
      <c r="AI977" s="4">
        <v>6</v>
      </c>
      <c r="AJ977" s="4">
        <v>0</v>
      </c>
      <c r="AK977" s="4">
        <v>13</v>
      </c>
      <c r="AL977" s="4">
        <v>0</v>
      </c>
      <c r="AM977" s="4">
        <v>5</v>
      </c>
      <c r="AN977" s="4">
        <v>0</v>
      </c>
      <c r="AO977" s="4">
        <v>0</v>
      </c>
      <c r="AP977" s="3" t="s">
        <v>61</v>
      </c>
      <c r="AQ977" s="3" t="s">
        <v>61</v>
      </c>
      <c r="AS977" s="6" t="str">
        <f>HYPERLINK("https://creighton-primo.hosted.exlibrisgroup.com/primo-explore/search?tab=default_tab&amp;search_scope=EVERYTHING&amp;vid=01CRU&amp;lang=en_US&amp;offset=0&amp;query=any,contains,991002866539702656","Catalog Record")</f>
        <v>Catalog Record</v>
      </c>
      <c r="AT977" s="6" t="str">
        <f>HYPERLINK("http://www.worldcat.org/oclc/37783085","WorldCat Record")</f>
        <v>WorldCat Record</v>
      </c>
      <c r="AU977" s="3" t="s">
        <v>10942</v>
      </c>
      <c r="AV977" s="3" t="s">
        <v>10943</v>
      </c>
      <c r="AW977" s="3" t="s">
        <v>10944</v>
      </c>
      <c r="AX977" s="3" t="s">
        <v>10944</v>
      </c>
      <c r="AY977" s="3" t="s">
        <v>10945</v>
      </c>
      <c r="AZ977" s="3" t="s">
        <v>75</v>
      </c>
      <c r="BB977" s="3" t="s">
        <v>10946</v>
      </c>
      <c r="BC977" s="3" t="s">
        <v>10947</v>
      </c>
      <c r="BD977" s="3" t="s">
        <v>10948</v>
      </c>
    </row>
    <row r="978" spans="1:56" ht="44.25" customHeight="1" x14ac:dyDescent="0.25">
      <c r="A978" s="7" t="s">
        <v>61</v>
      </c>
      <c r="B978" s="2" t="s">
        <v>10949</v>
      </c>
      <c r="C978" s="2" t="s">
        <v>10950</v>
      </c>
      <c r="D978" s="2" t="s">
        <v>10951</v>
      </c>
      <c r="F978" s="3" t="s">
        <v>61</v>
      </c>
      <c r="G978" s="3" t="s">
        <v>60</v>
      </c>
      <c r="H978" s="3" t="s">
        <v>61</v>
      </c>
      <c r="I978" s="3" t="s">
        <v>61</v>
      </c>
      <c r="J978" s="3" t="s">
        <v>62</v>
      </c>
      <c r="K978" s="2" t="s">
        <v>10952</v>
      </c>
      <c r="L978" s="2" t="s">
        <v>10953</v>
      </c>
      <c r="M978" s="3" t="s">
        <v>466</v>
      </c>
      <c r="N978" s="2" t="s">
        <v>10954</v>
      </c>
      <c r="O978" s="3" t="s">
        <v>114</v>
      </c>
      <c r="P978" s="3" t="s">
        <v>235</v>
      </c>
      <c r="R978" s="3" t="s">
        <v>68</v>
      </c>
      <c r="S978" s="4">
        <v>6</v>
      </c>
      <c r="T978" s="4">
        <v>6</v>
      </c>
      <c r="U978" s="5" t="s">
        <v>10955</v>
      </c>
      <c r="V978" s="5" t="s">
        <v>10955</v>
      </c>
      <c r="W978" s="5" t="s">
        <v>8158</v>
      </c>
      <c r="X978" s="5" t="s">
        <v>8158</v>
      </c>
      <c r="Y978" s="4">
        <v>711</v>
      </c>
      <c r="Z978" s="4">
        <v>674</v>
      </c>
      <c r="AA978" s="4">
        <v>798</v>
      </c>
      <c r="AB978" s="4">
        <v>7</v>
      </c>
      <c r="AC978" s="4">
        <v>9</v>
      </c>
      <c r="AD978" s="4">
        <v>15</v>
      </c>
      <c r="AE978" s="4">
        <v>17</v>
      </c>
      <c r="AF978" s="4">
        <v>6</v>
      </c>
      <c r="AG978" s="4">
        <v>7</v>
      </c>
      <c r="AH978" s="4">
        <v>5</v>
      </c>
      <c r="AI978" s="4">
        <v>6</v>
      </c>
      <c r="AJ978" s="4">
        <v>5</v>
      </c>
      <c r="AK978" s="4">
        <v>5</v>
      </c>
      <c r="AL978" s="4">
        <v>3</v>
      </c>
      <c r="AM978" s="4">
        <v>3</v>
      </c>
      <c r="AN978" s="4">
        <v>0</v>
      </c>
      <c r="AO978" s="4">
        <v>0</v>
      </c>
      <c r="AP978" s="3" t="s">
        <v>61</v>
      </c>
      <c r="AQ978" s="3" t="s">
        <v>59</v>
      </c>
      <c r="AR978" s="6" t="str">
        <f>HYPERLINK("http://catalog.hathitrust.org/Record/000089362","HathiTrust Record")</f>
        <v>HathiTrust Record</v>
      </c>
      <c r="AS978" s="6" t="str">
        <f>HYPERLINK("https://creighton-primo.hosted.exlibrisgroup.com/primo-explore/search?tab=default_tab&amp;search_scope=EVERYTHING&amp;vid=01CRU&amp;lang=en_US&amp;offset=0&amp;query=any,contains,991004458489702656","Catalog Record")</f>
        <v>Catalog Record</v>
      </c>
      <c r="AT978" s="6" t="str">
        <f>HYPERLINK("http://www.worldcat.org/oclc/3540660","WorldCat Record")</f>
        <v>WorldCat Record</v>
      </c>
      <c r="AU978" s="3" t="s">
        <v>10956</v>
      </c>
      <c r="AV978" s="3" t="s">
        <v>10957</v>
      </c>
      <c r="AW978" s="3" t="s">
        <v>10958</v>
      </c>
      <c r="AX978" s="3" t="s">
        <v>10958</v>
      </c>
      <c r="AY978" s="3" t="s">
        <v>10959</v>
      </c>
      <c r="AZ978" s="3" t="s">
        <v>75</v>
      </c>
      <c r="BB978" s="3" t="s">
        <v>10960</v>
      </c>
      <c r="BC978" s="3" t="s">
        <v>10961</v>
      </c>
      <c r="BD978" s="3" t="s">
        <v>10962</v>
      </c>
    </row>
    <row r="979" spans="1:56" ht="44.25" customHeight="1" x14ac:dyDescent="0.25">
      <c r="A979" s="7" t="s">
        <v>61</v>
      </c>
      <c r="B979" s="2" t="s">
        <v>10963</v>
      </c>
      <c r="C979" s="2" t="s">
        <v>10964</v>
      </c>
      <c r="D979" s="2" t="s">
        <v>10965</v>
      </c>
      <c r="F979" s="3" t="s">
        <v>61</v>
      </c>
      <c r="G979" s="3" t="s">
        <v>60</v>
      </c>
      <c r="H979" s="3" t="s">
        <v>61</v>
      </c>
      <c r="I979" s="3" t="s">
        <v>61</v>
      </c>
      <c r="J979" s="3" t="s">
        <v>62</v>
      </c>
      <c r="K979" s="2" t="s">
        <v>10966</v>
      </c>
      <c r="L979" s="2" t="s">
        <v>10967</v>
      </c>
      <c r="M979" s="3" t="s">
        <v>4337</v>
      </c>
      <c r="N979" s="2" t="s">
        <v>306</v>
      </c>
      <c r="O979" s="3" t="s">
        <v>114</v>
      </c>
      <c r="P979" s="3" t="s">
        <v>2553</v>
      </c>
      <c r="R979" s="3" t="s">
        <v>68</v>
      </c>
      <c r="S979" s="4">
        <v>4</v>
      </c>
      <c r="T979" s="4">
        <v>4</v>
      </c>
      <c r="U979" s="5" t="s">
        <v>10968</v>
      </c>
      <c r="V979" s="5" t="s">
        <v>10968</v>
      </c>
      <c r="W979" s="5" t="s">
        <v>3326</v>
      </c>
      <c r="X979" s="5" t="s">
        <v>3326</v>
      </c>
      <c r="Y979" s="4">
        <v>473</v>
      </c>
      <c r="Z979" s="4">
        <v>456</v>
      </c>
      <c r="AA979" s="4">
        <v>831</v>
      </c>
      <c r="AB979" s="4">
        <v>5</v>
      </c>
      <c r="AC979" s="4">
        <v>7</v>
      </c>
      <c r="AD979" s="4">
        <v>21</v>
      </c>
      <c r="AE979" s="4">
        <v>31</v>
      </c>
      <c r="AF979" s="4">
        <v>10</v>
      </c>
      <c r="AG979" s="4">
        <v>13</v>
      </c>
      <c r="AH979" s="4">
        <v>4</v>
      </c>
      <c r="AI979" s="4">
        <v>9</v>
      </c>
      <c r="AJ979" s="4">
        <v>12</v>
      </c>
      <c r="AK979" s="4">
        <v>15</v>
      </c>
      <c r="AL979" s="4">
        <v>2</v>
      </c>
      <c r="AM979" s="4">
        <v>4</v>
      </c>
      <c r="AN979" s="4">
        <v>0</v>
      </c>
      <c r="AO979" s="4">
        <v>0</v>
      </c>
      <c r="AP979" s="3" t="s">
        <v>61</v>
      </c>
      <c r="AQ979" s="3" t="s">
        <v>61</v>
      </c>
      <c r="AR979" s="6" t="str">
        <f>HYPERLINK("http://catalog.hathitrust.org/Record/000596453","HathiTrust Record")</f>
        <v>HathiTrust Record</v>
      </c>
      <c r="AS979" s="6" t="str">
        <f>HYPERLINK("https://creighton-primo.hosted.exlibrisgroup.com/primo-explore/search?tab=default_tab&amp;search_scope=EVERYTHING&amp;vid=01CRU&amp;lang=en_US&amp;offset=0&amp;query=any,contains,991002253029702656","Catalog Record")</f>
        <v>Catalog Record</v>
      </c>
      <c r="AT979" s="6" t="str">
        <f>HYPERLINK("http://www.worldcat.org/oclc/300187","WorldCat Record")</f>
        <v>WorldCat Record</v>
      </c>
      <c r="AU979" s="3" t="s">
        <v>10969</v>
      </c>
      <c r="AV979" s="3" t="s">
        <v>10970</v>
      </c>
      <c r="AW979" s="3" t="s">
        <v>10971</v>
      </c>
      <c r="AX979" s="3" t="s">
        <v>10971</v>
      </c>
      <c r="AY979" s="3" t="s">
        <v>10972</v>
      </c>
      <c r="AZ979" s="3" t="s">
        <v>75</v>
      </c>
      <c r="BC979" s="3" t="s">
        <v>10973</v>
      </c>
      <c r="BD979" s="3" t="s">
        <v>10974</v>
      </c>
    </row>
    <row r="980" spans="1:56" ht="44.25" customHeight="1" x14ac:dyDescent="0.25">
      <c r="A980" s="7" t="s">
        <v>61</v>
      </c>
      <c r="B980" s="2" t="s">
        <v>10975</v>
      </c>
      <c r="C980" s="2" t="s">
        <v>10976</v>
      </c>
      <c r="D980" s="2" t="s">
        <v>10977</v>
      </c>
      <c r="F980" s="3" t="s">
        <v>61</v>
      </c>
      <c r="G980" s="3" t="s">
        <v>60</v>
      </c>
      <c r="H980" s="3" t="s">
        <v>61</v>
      </c>
      <c r="I980" s="3" t="s">
        <v>61</v>
      </c>
      <c r="J980" s="3" t="s">
        <v>62</v>
      </c>
      <c r="K980" s="2" t="s">
        <v>10978</v>
      </c>
      <c r="L980" s="2" t="s">
        <v>10979</v>
      </c>
      <c r="M980" s="3" t="s">
        <v>249</v>
      </c>
      <c r="O980" s="3" t="s">
        <v>114</v>
      </c>
      <c r="P980" s="3" t="s">
        <v>649</v>
      </c>
      <c r="R980" s="3" t="s">
        <v>68</v>
      </c>
      <c r="S980" s="4">
        <v>6</v>
      </c>
      <c r="T980" s="4">
        <v>6</v>
      </c>
      <c r="U980" s="5" t="s">
        <v>9603</v>
      </c>
      <c r="V980" s="5" t="s">
        <v>9603</v>
      </c>
      <c r="W980" s="5" t="s">
        <v>5462</v>
      </c>
      <c r="X980" s="5" t="s">
        <v>5462</v>
      </c>
      <c r="Y980" s="4">
        <v>374</v>
      </c>
      <c r="Z980" s="4">
        <v>340</v>
      </c>
      <c r="AA980" s="4">
        <v>376</v>
      </c>
      <c r="AB980" s="4">
        <v>4</v>
      </c>
      <c r="AC980" s="4">
        <v>4</v>
      </c>
      <c r="AD980" s="4">
        <v>11</v>
      </c>
      <c r="AE980" s="4">
        <v>11</v>
      </c>
      <c r="AF980" s="4">
        <v>3</v>
      </c>
      <c r="AG980" s="4">
        <v>3</v>
      </c>
      <c r="AH980" s="4">
        <v>2</v>
      </c>
      <c r="AI980" s="4">
        <v>2</v>
      </c>
      <c r="AJ980" s="4">
        <v>6</v>
      </c>
      <c r="AK980" s="4">
        <v>6</v>
      </c>
      <c r="AL980" s="4">
        <v>3</v>
      </c>
      <c r="AM980" s="4">
        <v>3</v>
      </c>
      <c r="AN980" s="4">
        <v>0</v>
      </c>
      <c r="AO980" s="4">
        <v>0</v>
      </c>
      <c r="AP980" s="3" t="s">
        <v>61</v>
      </c>
      <c r="AQ980" s="3" t="s">
        <v>59</v>
      </c>
      <c r="AR980" s="6" t="str">
        <f>HYPERLINK("http://catalog.hathitrust.org/Record/002783976","HathiTrust Record")</f>
        <v>HathiTrust Record</v>
      </c>
      <c r="AS980" s="6" t="str">
        <f>HYPERLINK("https://creighton-primo.hosted.exlibrisgroup.com/primo-explore/search?tab=default_tab&amp;search_scope=EVERYTHING&amp;vid=01CRU&amp;lang=en_US&amp;offset=0&amp;query=any,contains,991002141239702656","Catalog Record")</f>
        <v>Catalog Record</v>
      </c>
      <c r="AT980" s="6" t="str">
        <f>HYPERLINK("http://www.worldcat.org/oclc/27432188","WorldCat Record")</f>
        <v>WorldCat Record</v>
      </c>
      <c r="AU980" s="3" t="s">
        <v>10980</v>
      </c>
      <c r="AV980" s="3" t="s">
        <v>10981</v>
      </c>
      <c r="AW980" s="3" t="s">
        <v>10982</v>
      </c>
      <c r="AX980" s="3" t="s">
        <v>10982</v>
      </c>
      <c r="AY980" s="3" t="s">
        <v>10983</v>
      </c>
      <c r="AZ980" s="3" t="s">
        <v>75</v>
      </c>
      <c r="BB980" s="3" t="s">
        <v>10984</v>
      </c>
      <c r="BC980" s="3" t="s">
        <v>10985</v>
      </c>
      <c r="BD980" s="3" t="s">
        <v>10986</v>
      </c>
    </row>
    <row r="981" spans="1:56" ht="44.25" customHeight="1" x14ac:dyDescent="0.25">
      <c r="A981" s="7" t="s">
        <v>61</v>
      </c>
      <c r="B981" s="2" t="s">
        <v>10987</v>
      </c>
      <c r="C981" s="2" t="s">
        <v>10988</v>
      </c>
      <c r="D981" s="2" t="s">
        <v>10989</v>
      </c>
      <c r="F981" s="3" t="s">
        <v>61</v>
      </c>
      <c r="G981" s="3" t="s">
        <v>60</v>
      </c>
      <c r="H981" s="3" t="s">
        <v>61</v>
      </c>
      <c r="I981" s="3" t="s">
        <v>61</v>
      </c>
      <c r="J981" s="3" t="s">
        <v>62</v>
      </c>
      <c r="K981" s="2" t="s">
        <v>10990</v>
      </c>
      <c r="L981" s="2" t="s">
        <v>10991</v>
      </c>
      <c r="M981" s="3" t="s">
        <v>1060</v>
      </c>
      <c r="N981" s="2" t="s">
        <v>306</v>
      </c>
      <c r="O981" s="3" t="s">
        <v>114</v>
      </c>
      <c r="P981" s="3" t="s">
        <v>235</v>
      </c>
      <c r="R981" s="3" t="s">
        <v>68</v>
      </c>
      <c r="S981" s="4">
        <v>2</v>
      </c>
      <c r="T981" s="4">
        <v>2</v>
      </c>
      <c r="U981" s="5" t="s">
        <v>10968</v>
      </c>
      <c r="V981" s="5" t="s">
        <v>10968</v>
      </c>
      <c r="W981" s="5" t="s">
        <v>6291</v>
      </c>
      <c r="X981" s="5" t="s">
        <v>6291</v>
      </c>
      <c r="Y981" s="4">
        <v>213</v>
      </c>
      <c r="Z981" s="4">
        <v>203</v>
      </c>
      <c r="AA981" s="4">
        <v>207</v>
      </c>
      <c r="AB981" s="4">
        <v>2</v>
      </c>
      <c r="AC981" s="4">
        <v>2</v>
      </c>
      <c r="AD981" s="4">
        <v>3</v>
      </c>
      <c r="AE981" s="4">
        <v>3</v>
      </c>
      <c r="AF981" s="4">
        <v>0</v>
      </c>
      <c r="AG981" s="4">
        <v>0</v>
      </c>
      <c r="AH981" s="4">
        <v>1</v>
      </c>
      <c r="AI981" s="4">
        <v>1</v>
      </c>
      <c r="AJ981" s="4">
        <v>1</v>
      </c>
      <c r="AK981" s="4">
        <v>1</v>
      </c>
      <c r="AL981" s="4">
        <v>1</v>
      </c>
      <c r="AM981" s="4">
        <v>1</v>
      </c>
      <c r="AN981" s="4">
        <v>0</v>
      </c>
      <c r="AO981" s="4">
        <v>0</v>
      </c>
      <c r="AP981" s="3" t="s">
        <v>61</v>
      </c>
      <c r="AQ981" s="3" t="s">
        <v>59</v>
      </c>
      <c r="AR981" s="6" t="str">
        <f>HYPERLINK("http://catalog.hathitrust.org/Record/000592850","HathiTrust Record")</f>
        <v>HathiTrust Record</v>
      </c>
      <c r="AS981" s="6" t="str">
        <f>HYPERLINK("https://creighton-primo.hosted.exlibrisgroup.com/primo-explore/search?tab=default_tab&amp;search_scope=EVERYTHING&amp;vid=01CRU&amp;lang=en_US&amp;offset=0&amp;query=any,contains,991003799869702656","Catalog Record")</f>
        <v>Catalog Record</v>
      </c>
      <c r="AT981" s="6" t="str">
        <f>HYPERLINK("http://www.worldcat.org/oclc/1526249","WorldCat Record")</f>
        <v>WorldCat Record</v>
      </c>
      <c r="AU981" s="3" t="s">
        <v>10992</v>
      </c>
      <c r="AV981" s="3" t="s">
        <v>10993</v>
      </c>
      <c r="AW981" s="3" t="s">
        <v>10994</v>
      </c>
      <c r="AX981" s="3" t="s">
        <v>10994</v>
      </c>
      <c r="AY981" s="3" t="s">
        <v>10995</v>
      </c>
      <c r="AZ981" s="3" t="s">
        <v>75</v>
      </c>
      <c r="BC981" s="3" t="s">
        <v>10996</v>
      </c>
      <c r="BD981" s="3" t="s">
        <v>10997</v>
      </c>
    </row>
    <row r="982" spans="1:56" ht="44.25" customHeight="1" x14ac:dyDescent="0.25">
      <c r="A982" s="7" t="s">
        <v>61</v>
      </c>
      <c r="B982" s="2" t="s">
        <v>10998</v>
      </c>
      <c r="C982" s="2" t="s">
        <v>10999</v>
      </c>
      <c r="D982" s="2" t="s">
        <v>11000</v>
      </c>
      <c r="F982" s="3" t="s">
        <v>61</v>
      </c>
      <c r="G982" s="3" t="s">
        <v>7922</v>
      </c>
      <c r="H982" s="3" t="s">
        <v>61</v>
      </c>
      <c r="I982" s="3" t="s">
        <v>61</v>
      </c>
      <c r="J982" s="3" t="s">
        <v>62</v>
      </c>
      <c r="K982" s="2" t="s">
        <v>11001</v>
      </c>
      <c r="L982" s="2" t="s">
        <v>11002</v>
      </c>
      <c r="M982" s="3" t="s">
        <v>422</v>
      </c>
      <c r="O982" s="3" t="s">
        <v>114</v>
      </c>
      <c r="P982" s="3" t="s">
        <v>2432</v>
      </c>
      <c r="Q982" s="2" t="s">
        <v>11003</v>
      </c>
      <c r="R982" s="3" t="s">
        <v>68</v>
      </c>
      <c r="S982" s="4">
        <v>1</v>
      </c>
      <c r="T982" s="4">
        <v>1</v>
      </c>
      <c r="U982" s="5" t="s">
        <v>11004</v>
      </c>
      <c r="V982" s="5" t="s">
        <v>11004</v>
      </c>
      <c r="W982" s="5" t="s">
        <v>11004</v>
      </c>
      <c r="X982" s="5" t="s">
        <v>11004</v>
      </c>
      <c r="Y982" s="4">
        <v>58</v>
      </c>
      <c r="Z982" s="4">
        <v>57</v>
      </c>
      <c r="AA982" s="4">
        <v>440</v>
      </c>
      <c r="AB982" s="4">
        <v>1</v>
      </c>
      <c r="AC982" s="4">
        <v>3</v>
      </c>
      <c r="AD982" s="4">
        <v>1</v>
      </c>
      <c r="AE982" s="4">
        <v>14</v>
      </c>
      <c r="AF982" s="4">
        <v>1</v>
      </c>
      <c r="AG982" s="4">
        <v>4</v>
      </c>
      <c r="AH982" s="4">
        <v>0</v>
      </c>
      <c r="AI982" s="4">
        <v>6</v>
      </c>
      <c r="AJ982" s="4">
        <v>0</v>
      </c>
      <c r="AK982" s="4">
        <v>7</v>
      </c>
      <c r="AL982" s="4">
        <v>0</v>
      </c>
      <c r="AM982" s="4">
        <v>2</v>
      </c>
      <c r="AN982" s="4">
        <v>0</v>
      </c>
      <c r="AO982" s="4">
        <v>0</v>
      </c>
      <c r="AP982" s="3" t="s">
        <v>61</v>
      </c>
      <c r="AQ982" s="3" t="s">
        <v>61</v>
      </c>
      <c r="AS982" s="6" t="str">
        <f>HYPERLINK("https://creighton-primo.hosted.exlibrisgroup.com/primo-explore/search?tab=default_tab&amp;search_scope=EVERYTHING&amp;vid=01CRU&amp;lang=en_US&amp;offset=0&amp;query=any,contains,991002977459702656","Catalog Record")</f>
        <v>Catalog Record</v>
      </c>
      <c r="AT982" s="6" t="str">
        <f>HYPERLINK("http://www.worldcat.org/oclc/39946918","WorldCat Record")</f>
        <v>WorldCat Record</v>
      </c>
      <c r="AU982" s="3" t="s">
        <v>11005</v>
      </c>
      <c r="AV982" s="3" t="s">
        <v>11006</v>
      </c>
      <c r="AW982" s="3" t="s">
        <v>11007</v>
      </c>
      <c r="AX982" s="3" t="s">
        <v>11007</v>
      </c>
      <c r="AY982" s="3" t="s">
        <v>11008</v>
      </c>
      <c r="AZ982" s="3" t="s">
        <v>75</v>
      </c>
      <c r="BB982" s="3" t="s">
        <v>11009</v>
      </c>
      <c r="BC982" s="3" t="s">
        <v>11010</v>
      </c>
      <c r="BD982" s="3" t="s">
        <v>11011</v>
      </c>
    </row>
    <row r="983" spans="1:56" ht="44.25" customHeight="1" x14ac:dyDescent="0.25">
      <c r="A983" s="7" t="s">
        <v>61</v>
      </c>
      <c r="B983" s="2" t="s">
        <v>11012</v>
      </c>
      <c r="C983" s="2" t="s">
        <v>11013</v>
      </c>
      <c r="D983" s="2" t="s">
        <v>11014</v>
      </c>
      <c r="F983" s="3" t="s">
        <v>61</v>
      </c>
      <c r="G983" s="3" t="s">
        <v>60</v>
      </c>
      <c r="H983" s="3" t="s">
        <v>61</v>
      </c>
      <c r="I983" s="3" t="s">
        <v>61</v>
      </c>
      <c r="J983" s="3" t="s">
        <v>62</v>
      </c>
      <c r="K983" s="2" t="s">
        <v>11015</v>
      </c>
      <c r="L983" s="2" t="s">
        <v>11016</v>
      </c>
      <c r="M983" s="3" t="s">
        <v>2044</v>
      </c>
      <c r="O983" s="3" t="s">
        <v>114</v>
      </c>
      <c r="P983" s="3" t="s">
        <v>2432</v>
      </c>
      <c r="R983" s="3" t="s">
        <v>68</v>
      </c>
      <c r="S983" s="4">
        <v>2</v>
      </c>
      <c r="T983" s="4">
        <v>2</v>
      </c>
      <c r="U983" s="5" t="s">
        <v>10968</v>
      </c>
      <c r="V983" s="5" t="s">
        <v>10968</v>
      </c>
      <c r="W983" s="5" t="s">
        <v>6291</v>
      </c>
      <c r="X983" s="5" t="s">
        <v>6291</v>
      </c>
      <c r="Y983" s="4">
        <v>600</v>
      </c>
      <c r="Z983" s="4">
        <v>562</v>
      </c>
      <c r="AA983" s="4">
        <v>591</v>
      </c>
      <c r="AB983" s="4">
        <v>5</v>
      </c>
      <c r="AC983" s="4">
        <v>5</v>
      </c>
      <c r="AD983" s="4">
        <v>26</v>
      </c>
      <c r="AE983" s="4">
        <v>27</v>
      </c>
      <c r="AF983" s="4">
        <v>10</v>
      </c>
      <c r="AG983" s="4">
        <v>11</v>
      </c>
      <c r="AH983" s="4">
        <v>7</v>
      </c>
      <c r="AI983" s="4">
        <v>7</v>
      </c>
      <c r="AJ983" s="4">
        <v>13</v>
      </c>
      <c r="AK983" s="4">
        <v>14</v>
      </c>
      <c r="AL983" s="4">
        <v>4</v>
      </c>
      <c r="AM983" s="4">
        <v>4</v>
      </c>
      <c r="AN983" s="4">
        <v>0</v>
      </c>
      <c r="AO983" s="4">
        <v>0</v>
      </c>
      <c r="AP983" s="3" t="s">
        <v>61</v>
      </c>
      <c r="AQ983" s="3" t="s">
        <v>61</v>
      </c>
      <c r="AR983" s="6" t="str">
        <f>HYPERLINK("http://catalog.hathitrust.org/Record/000594522","HathiTrust Record")</f>
        <v>HathiTrust Record</v>
      </c>
      <c r="AS983" s="6" t="str">
        <f>HYPERLINK("https://creighton-primo.hosted.exlibrisgroup.com/primo-explore/search?tab=default_tab&amp;search_scope=EVERYTHING&amp;vid=01CRU&amp;lang=en_US&amp;offset=0&amp;query=any,contains,991003558399702656","Catalog Record")</f>
        <v>Catalog Record</v>
      </c>
      <c r="AT983" s="6" t="str">
        <f>HYPERLINK("http://www.worldcat.org/oclc/1127592","WorldCat Record")</f>
        <v>WorldCat Record</v>
      </c>
      <c r="AU983" s="3" t="s">
        <v>11017</v>
      </c>
      <c r="AV983" s="3" t="s">
        <v>11018</v>
      </c>
      <c r="AW983" s="3" t="s">
        <v>11019</v>
      </c>
      <c r="AX983" s="3" t="s">
        <v>11019</v>
      </c>
      <c r="AY983" s="3" t="s">
        <v>11020</v>
      </c>
      <c r="AZ983" s="3" t="s">
        <v>75</v>
      </c>
      <c r="BC983" s="3" t="s">
        <v>11021</v>
      </c>
      <c r="BD983" s="3" t="s">
        <v>11022</v>
      </c>
    </row>
    <row r="984" spans="1:56" ht="44.25" customHeight="1" x14ac:dyDescent="0.25">
      <c r="A984" s="7" t="s">
        <v>61</v>
      </c>
      <c r="B984" s="2" t="s">
        <v>11023</v>
      </c>
      <c r="C984" s="2" t="s">
        <v>11024</v>
      </c>
      <c r="D984" s="2" t="s">
        <v>11025</v>
      </c>
      <c r="F984" s="3" t="s">
        <v>61</v>
      </c>
      <c r="G984" s="3" t="s">
        <v>60</v>
      </c>
      <c r="H984" s="3" t="s">
        <v>61</v>
      </c>
      <c r="I984" s="3" t="s">
        <v>61</v>
      </c>
      <c r="J984" s="3" t="s">
        <v>62</v>
      </c>
      <c r="K984" s="2" t="s">
        <v>4769</v>
      </c>
      <c r="L984" s="2" t="s">
        <v>11026</v>
      </c>
      <c r="M984" s="3" t="s">
        <v>1571</v>
      </c>
      <c r="O984" s="3" t="s">
        <v>114</v>
      </c>
      <c r="P984" s="3" t="s">
        <v>235</v>
      </c>
      <c r="R984" s="3" t="s">
        <v>68</v>
      </c>
      <c r="S984" s="4">
        <v>3</v>
      </c>
      <c r="T984" s="4">
        <v>3</v>
      </c>
      <c r="U984" s="5" t="s">
        <v>11027</v>
      </c>
      <c r="V984" s="5" t="s">
        <v>11027</v>
      </c>
      <c r="W984" s="5" t="s">
        <v>11028</v>
      </c>
      <c r="X984" s="5" t="s">
        <v>11028</v>
      </c>
      <c r="Y984" s="4">
        <v>524</v>
      </c>
      <c r="Z984" s="4">
        <v>505</v>
      </c>
      <c r="AA984" s="4">
        <v>716</v>
      </c>
      <c r="AB984" s="4">
        <v>5</v>
      </c>
      <c r="AC984" s="4">
        <v>7</v>
      </c>
      <c r="AD984" s="4">
        <v>8</v>
      </c>
      <c r="AE984" s="4">
        <v>11</v>
      </c>
      <c r="AF984" s="4">
        <v>3</v>
      </c>
      <c r="AG984" s="4">
        <v>4</v>
      </c>
      <c r="AH984" s="4">
        <v>0</v>
      </c>
      <c r="AI984" s="4">
        <v>1</v>
      </c>
      <c r="AJ984" s="4">
        <v>6</v>
      </c>
      <c r="AK984" s="4">
        <v>6</v>
      </c>
      <c r="AL984" s="4">
        <v>1</v>
      </c>
      <c r="AM984" s="4">
        <v>2</v>
      </c>
      <c r="AN984" s="4">
        <v>0</v>
      </c>
      <c r="AO984" s="4">
        <v>0</v>
      </c>
      <c r="AP984" s="3" t="s">
        <v>61</v>
      </c>
      <c r="AQ984" s="3" t="s">
        <v>61</v>
      </c>
      <c r="AS984" s="6" t="str">
        <f>HYPERLINK("https://creighton-primo.hosted.exlibrisgroup.com/primo-explore/search?tab=default_tab&amp;search_scope=EVERYTHING&amp;vid=01CRU&amp;lang=en_US&amp;offset=0&amp;query=any,contains,991000995669702656","Catalog Record")</f>
        <v>Catalog Record</v>
      </c>
      <c r="AT984" s="6" t="str">
        <f>HYPERLINK("http://www.worldcat.org/oclc/171337","WorldCat Record")</f>
        <v>WorldCat Record</v>
      </c>
      <c r="AU984" s="3" t="s">
        <v>11029</v>
      </c>
      <c r="AV984" s="3" t="s">
        <v>11030</v>
      </c>
      <c r="AW984" s="3" t="s">
        <v>11031</v>
      </c>
      <c r="AX984" s="3" t="s">
        <v>11031</v>
      </c>
      <c r="AY984" s="3" t="s">
        <v>11032</v>
      </c>
      <c r="AZ984" s="3" t="s">
        <v>75</v>
      </c>
      <c r="BC984" s="3" t="s">
        <v>11033</v>
      </c>
      <c r="BD984" s="3" t="s">
        <v>11034</v>
      </c>
    </row>
    <row r="985" spans="1:56" ht="44.25" customHeight="1" x14ac:dyDescent="0.25">
      <c r="A985" s="7" t="s">
        <v>61</v>
      </c>
      <c r="B985" s="2" t="s">
        <v>11035</v>
      </c>
      <c r="C985" s="2" t="s">
        <v>11036</v>
      </c>
      <c r="D985" s="2" t="s">
        <v>11037</v>
      </c>
      <c r="F985" s="3" t="s">
        <v>61</v>
      </c>
      <c r="G985" s="3" t="s">
        <v>60</v>
      </c>
      <c r="H985" s="3" t="s">
        <v>61</v>
      </c>
      <c r="I985" s="3" t="s">
        <v>61</v>
      </c>
      <c r="J985" s="3" t="s">
        <v>62</v>
      </c>
      <c r="K985" s="2" t="s">
        <v>7777</v>
      </c>
      <c r="L985" s="2" t="s">
        <v>11038</v>
      </c>
      <c r="M985" s="3" t="s">
        <v>291</v>
      </c>
      <c r="O985" s="3" t="s">
        <v>114</v>
      </c>
      <c r="P985" s="3" t="s">
        <v>235</v>
      </c>
      <c r="R985" s="3" t="s">
        <v>68</v>
      </c>
      <c r="S985" s="4">
        <v>7</v>
      </c>
      <c r="T985" s="4">
        <v>7</v>
      </c>
      <c r="U985" s="5" t="s">
        <v>11039</v>
      </c>
      <c r="V985" s="5" t="s">
        <v>11039</v>
      </c>
      <c r="W985" s="5" t="s">
        <v>11040</v>
      </c>
      <c r="X985" s="5" t="s">
        <v>11040</v>
      </c>
      <c r="Y985" s="4">
        <v>690</v>
      </c>
      <c r="Z985" s="4">
        <v>651</v>
      </c>
      <c r="AA985" s="4">
        <v>906</v>
      </c>
      <c r="AB985" s="4">
        <v>8</v>
      </c>
      <c r="AC985" s="4">
        <v>10</v>
      </c>
      <c r="AD985" s="4">
        <v>19</v>
      </c>
      <c r="AE985" s="4">
        <v>27</v>
      </c>
      <c r="AF985" s="4">
        <v>8</v>
      </c>
      <c r="AG985" s="4">
        <v>13</v>
      </c>
      <c r="AH985" s="4">
        <v>5</v>
      </c>
      <c r="AI985" s="4">
        <v>7</v>
      </c>
      <c r="AJ985" s="4">
        <v>11</v>
      </c>
      <c r="AK985" s="4">
        <v>13</v>
      </c>
      <c r="AL985" s="4">
        <v>2</v>
      </c>
      <c r="AM985" s="4">
        <v>3</v>
      </c>
      <c r="AN985" s="4">
        <v>0</v>
      </c>
      <c r="AO985" s="4">
        <v>0</v>
      </c>
      <c r="AP985" s="3" t="s">
        <v>61</v>
      </c>
      <c r="AQ985" s="3" t="s">
        <v>59</v>
      </c>
      <c r="AR985" s="6" t="str">
        <f>HYPERLINK("http://catalog.hathitrust.org/Record/000190017","HathiTrust Record")</f>
        <v>HathiTrust Record</v>
      </c>
      <c r="AS985" s="6" t="str">
        <f>HYPERLINK("https://creighton-primo.hosted.exlibrisgroup.com/primo-explore/search?tab=default_tab&amp;search_scope=EVERYTHING&amp;vid=01CRU&amp;lang=en_US&amp;offset=0&amp;query=any,contains,991005096739702656","Catalog Record")</f>
        <v>Catalog Record</v>
      </c>
      <c r="AT985" s="6" t="str">
        <f>HYPERLINK("http://www.worldcat.org/oclc/7274661","WorldCat Record")</f>
        <v>WorldCat Record</v>
      </c>
      <c r="AU985" s="3" t="s">
        <v>11041</v>
      </c>
      <c r="AV985" s="3" t="s">
        <v>11042</v>
      </c>
      <c r="AW985" s="3" t="s">
        <v>11043</v>
      </c>
      <c r="AX985" s="3" t="s">
        <v>11043</v>
      </c>
      <c r="AY985" s="3" t="s">
        <v>11044</v>
      </c>
      <c r="AZ985" s="3" t="s">
        <v>75</v>
      </c>
      <c r="BB985" s="3" t="s">
        <v>11045</v>
      </c>
      <c r="BC985" s="3" t="s">
        <v>11046</v>
      </c>
      <c r="BD985" s="3" t="s">
        <v>11047</v>
      </c>
    </row>
    <row r="986" spans="1:56" ht="44.25" customHeight="1" x14ac:dyDescent="0.25">
      <c r="A986" s="7" t="s">
        <v>61</v>
      </c>
      <c r="B986" s="2" t="s">
        <v>11048</v>
      </c>
      <c r="C986" s="2" t="s">
        <v>11049</v>
      </c>
      <c r="D986" s="2" t="s">
        <v>11050</v>
      </c>
      <c r="F986" s="3" t="s">
        <v>61</v>
      </c>
      <c r="G986" s="3" t="s">
        <v>60</v>
      </c>
      <c r="H986" s="3" t="s">
        <v>61</v>
      </c>
      <c r="I986" s="3" t="s">
        <v>61</v>
      </c>
      <c r="J986" s="3" t="s">
        <v>62</v>
      </c>
      <c r="K986" s="2" t="s">
        <v>11051</v>
      </c>
      <c r="L986" s="2" t="s">
        <v>11052</v>
      </c>
      <c r="M986" s="3" t="s">
        <v>1074</v>
      </c>
      <c r="O986" s="3" t="s">
        <v>114</v>
      </c>
      <c r="P986" s="3" t="s">
        <v>192</v>
      </c>
      <c r="R986" s="3" t="s">
        <v>68</v>
      </c>
      <c r="S986" s="4">
        <v>2</v>
      </c>
      <c r="T986" s="4">
        <v>2</v>
      </c>
      <c r="U986" s="5" t="s">
        <v>11053</v>
      </c>
      <c r="V986" s="5" t="s">
        <v>11053</v>
      </c>
      <c r="W986" s="5" t="s">
        <v>7422</v>
      </c>
      <c r="X986" s="5" t="s">
        <v>7422</v>
      </c>
      <c r="Y986" s="4">
        <v>228</v>
      </c>
      <c r="Z986" s="4">
        <v>182</v>
      </c>
      <c r="AA986" s="4">
        <v>187</v>
      </c>
      <c r="AB986" s="4">
        <v>3</v>
      </c>
      <c r="AC986" s="4">
        <v>3</v>
      </c>
      <c r="AD986" s="4">
        <v>3</v>
      </c>
      <c r="AE986" s="4">
        <v>3</v>
      </c>
      <c r="AF986" s="4">
        <v>1</v>
      </c>
      <c r="AG986" s="4">
        <v>1</v>
      </c>
      <c r="AH986" s="4">
        <v>0</v>
      </c>
      <c r="AI986" s="4">
        <v>0</v>
      </c>
      <c r="AJ986" s="4">
        <v>1</v>
      </c>
      <c r="AK986" s="4">
        <v>1</v>
      </c>
      <c r="AL986" s="4">
        <v>2</v>
      </c>
      <c r="AM986" s="4">
        <v>2</v>
      </c>
      <c r="AN986" s="4">
        <v>0</v>
      </c>
      <c r="AO986" s="4">
        <v>0</v>
      </c>
      <c r="AP986" s="3" t="s">
        <v>61</v>
      </c>
      <c r="AQ986" s="3" t="s">
        <v>61</v>
      </c>
      <c r="AS986" s="6" t="str">
        <f>HYPERLINK("https://creighton-primo.hosted.exlibrisgroup.com/primo-explore/search?tab=default_tab&amp;search_scope=EVERYTHING&amp;vid=01CRU&amp;lang=en_US&amp;offset=0&amp;query=any,contains,991000571269702656","Catalog Record")</f>
        <v>Catalog Record</v>
      </c>
      <c r="AT986" s="6" t="str">
        <f>HYPERLINK("http://www.worldcat.org/oclc/11650510","WorldCat Record")</f>
        <v>WorldCat Record</v>
      </c>
      <c r="AU986" s="3" t="s">
        <v>11054</v>
      </c>
      <c r="AV986" s="3" t="s">
        <v>11055</v>
      </c>
      <c r="AW986" s="3" t="s">
        <v>11056</v>
      </c>
      <c r="AX986" s="3" t="s">
        <v>11056</v>
      </c>
      <c r="AY986" s="3" t="s">
        <v>11057</v>
      </c>
      <c r="AZ986" s="3" t="s">
        <v>75</v>
      </c>
      <c r="BB986" s="3" t="s">
        <v>11058</v>
      </c>
      <c r="BC986" s="3" t="s">
        <v>11059</v>
      </c>
      <c r="BD986" s="3" t="s">
        <v>11060</v>
      </c>
    </row>
    <row r="987" spans="1:56" ht="44.25" customHeight="1" x14ac:dyDescent="0.25">
      <c r="A987" s="7" t="s">
        <v>61</v>
      </c>
      <c r="B987" s="2" t="s">
        <v>11061</v>
      </c>
      <c r="C987" s="2" t="s">
        <v>11062</v>
      </c>
      <c r="D987" s="2" t="s">
        <v>11063</v>
      </c>
      <c r="F987" s="3" t="s">
        <v>61</v>
      </c>
      <c r="G987" s="3" t="s">
        <v>60</v>
      </c>
      <c r="H987" s="3" t="s">
        <v>61</v>
      </c>
      <c r="I987" s="3" t="s">
        <v>61</v>
      </c>
      <c r="J987" s="3" t="s">
        <v>62</v>
      </c>
      <c r="K987" s="2" t="s">
        <v>11064</v>
      </c>
      <c r="L987" s="2" t="s">
        <v>11065</v>
      </c>
      <c r="M987" s="3" t="s">
        <v>1976</v>
      </c>
      <c r="O987" s="3" t="s">
        <v>114</v>
      </c>
      <c r="P987" s="3" t="s">
        <v>192</v>
      </c>
      <c r="R987" s="3" t="s">
        <v>68</v>
      </c>
      <c r="S987" s="4">
        <v>1</v>
      </c>
      <c r="T987" s="4">
        <v>1</v>
      </c>
      <c r="U987" s="5" t="s">
        <v>11066</v>
      </c>
      <c r="V987" s="5" t="s">
        <v>11066</v>
      </c>
      <c r="W987" s="5" t="s">
        <v>11067</v>
      </c>
      <c r="X987" s="5" t="s">
        <v>11067</v>
      </c>
      <c r="Y987" s="4">
        <v>133</v>
      </c>
      <c r="Z987" s="4">
        <v>89</v>
      </c>
      <c r="AA987" s="4">
        <v>90</v>
      </c>
      <c r="AB987" s="4">
        <v>2</v>
      </c>
      <c r="AC987" s="4">
        <v>2</v>
      </c>
      <c r="AD987" s="4">
        <v>2</v>
      </c>
      <c r="AE987" s="4">
        <v>2</v>
      </c>
      <c r="AF987" s="4">
        <v>0</v>
      </c>
      <c r="AG987" s="4">
        <v>0</v>
      </c>
      <c r="AH987" s="4">
        <v>1</v>
      </c>
      <c r="AI987" s="4">
        <v>1</v>
      </c>
      <c r="AJ987" s="4">
        <v>1</v>
      </c>
      <c r="AK987" s="4">
        <v>1</v>
      </c>
      <c r="AL987" s="4">
        <v>1</v>
      </c>
      <c r="AM987" s="4">
        <v>1</v>
      </c>
      <c r="AN987" s="4">
        <v>0</v>
      </c>
      <c r="AO987" s="4">
        <v>0</v>
      </c>
      <c r="AP987" s="3" t="s">
        <v>61</v>
      </c>
      <c r="AQ987" s="3" t="s">
        <v>61</v>
      </c>
      <c r="AS987" s="6" t="str">
        <f>HYPERLINK("https://creighton-primo.hosted.exlibrisgroup.com/primo-explore/search?tab=default_tab&amp;search_scope=EVERYTHING&amp;vid=01CRU&amp;lang=en_US&amp;offset=0&amp;query=any,contains,991004089169702656","Catalog Record")</f>
        <v>Catalog Record</v>
      </c>
      <c r="AT987" s="6" t="str">
        <f>HYPERLINK("http://www.worldcat.org/oclc/51270803","WorldCat Record")</f>
        <v>WorldCat Record</v>
      </c>
      <c r="AU987" s="3" t="s">
        <v>11068</v>
      </c>
      <c r="AV987" s="3" t="s">
        <v>11069</v>
      </c>
      <c r="AW987" s="3" t="s">
        <v>11070</v>
      </c>
      <c r="AX987" s="3" t="s">
        <v>11070</v>
      </c>
      <c r="AY987" s="3" t="s">
        <v>11071</v>
      </c>
      <c r="AZ987" s="3" t="s">
        <v>75</v>
      </c>
      <c r="BB987" s="3" t="s">
        <v>11072</v>
      </c>
      <c r="BC987" s="3" t="s">
        <v>11073</v>
      </c>
      <c r="BD987" s="3" t="s">
        <v>11074</v>
      </c>
    </row>
    <row r="988" spans="1:56" ht="44.25" customHeight="1" x14ac:dyDescent="0.25">
      <c r="A988" s="7" t="s">
        <v>61</v>
      </c>
      <c r="B988" s="2" t="s">
        <v>11075</v>
      </c>
      <c r="C988" s="2" t="s">
        <v>11076</v>
      </c>
      <c r="D988" s="2" t="s">
        <v>11077</v>
      </c>
      <c r="F988" s="3" t="s">
        <v>61</v>
      </c>
      <c r="G988" s="3" t="s">
        <v>60</v>
      </c>
      <c r="H988" s="3" t="s">
        <v>61</v>
      </c>
      <c r="I988" s="3" t="s">
        <v>61</v>
      </c>
      <c r="J988" s="3" t="s">
        <v>62</v>
      </c>
      <c r="K988" s="2" t="s">
        <v>11078</v>
      </c>
      <c r="L988" s="2" t="s">
        <v>11079</v>
      </c>
      <c r="M988" s="3" t="s">
        <v>1596</v>
      </c>
      <c r="O988" s="3" t="s">
        <v>114</v>
      </c>
      <c r="P988" s="3" t="s">
        <v>235</v>
      </c>
      <c r="R988" s="3" t="s">
        <v>68</v>
      </c>
      <c r="S988" s="4">
        <v>5</v>
      </c>
      <c r="T988" s="4">
        <v>5</v>
      </c>
      <c r="U988" s="5" t="s">
        <v>11080</v>
      </c>
      <c r="V988" s="5" t="s">
        <v>11080</v>
      </c>
      <c r="W988" s="5" t="s">
        <v>11081</v>
      </c>
      <c r="X988" s="5" t="s">
        <v>11081</v>
      </c>
      <c r="Y988" s="4">
        <v>390</v>
      </c>
      <c r="Z988" s="4">
        <v>293</v>
      </c>
      <c r="AA988" s="4">
        <v>296</v>
      </c>
      <c r="AB988" s="4">
        <v>3</v>
      </c>
      <c r="AC988" s="4">
        <v>3</v>
      </c>
      <c r="AD988" s="4">
        <v>12</v>
      </c>
      <c r="AE988" s="4">
        <v>12</v>
      </c>
      <c r="AF988" s="4">
        <v>4</v>
      </c>
      <c r="AG988" s="4">
        <v>4</v>
      </c>
      <c r="AH988" s="4">
        <v>2</v>
      </c>
      <c r="AI988" s="4">
        <v>2</v>
      </c>
      <c r="AJ988" s="4">
        <v>6</v>
      </c>
      <c r="AK988" s="4">
        <v>6</v>
      </c>
      <c r="AL988" s="4">
        <v>2</v>
      </c>
      <c r="AM988" s="4">
        <v>2</v>
      </c>
      <c r="AN988" s="4">
        <v>0</v>
      </c>
      <c r="AO988" s="4">
        <v>0</v>
      </c>
      <c r="AP988" s="3" t="s">
        <v>61</v>
      </c>
      <c r="AQ988" s="3" t="s">
        <v>59</v>
      </c>
      <c r="AR988" s="6" t="str">
        <f>HYPERLINK("http://catalog.hathitrust.org/Record/000709271","HathiTrust Record")</f>
        <v>HathiTrust Record</v>
      </c>
      <c r="AS988" s="6" t="str">
        <f>HYPERLINK("https://creighton-primo.hosted.exlibrisgroup.com/primo-explore/search?tab=default_tab&amp;search_scope=EVERYTHING&amp;vid=01CRU&amp;lang=en_US&amp;offset=0&amp;query=any,contains,991003980929702656","Catalog Record")</f>
        <v>Catalog Record</v>
      </c>
      <c r="AT988" s="6" t="str">
        <f>HYPERLINK("http://www.worldcat.org/oclc/2020054","WorldCat Record")</f>
        <v>WorldCat Record</v>
      </c>
      <c r="AU988" s="3" t="s">
        <v>11082</v>
      </c>
      <c r="AV988" s="3" t="s">
        <v>11083</v>
      </c>
      <c r="AW988" s="3" t="s">
        <v>11084</v>
      </c>
      <c r="AX988" s="3" t="s">
        <v>11084</v>
      </c>
      <c r="AY988" s="3" t="s">
        <v>11085</v>
      </c>
      <c r="AZ988" s="3" t="s">
        <v>75</v>
      </c>
      <c r="BB988" s="3" t="s">
        <v>11086</v>
      </c>
      <c r="BC988" s="3" t="s">
        <v>11087</v>
      </c>
      <c r="BD988" s="3" t="s">
        <v>11088</v>
      </c>
    </row>
    <row r="989" spans="1:56" ht="44.25" customHeight="1" x14ac:dyDescent="0.25">
      <c r="A989" s="7" t="s">
        <v>61</v>
      </c>
      <c r="B989" s="2" t="s">
        <v>11089</v>
      </c>
      <c r="C989" s="2" t="s">
        <v>11090</v>
      </c>
      <c r="D989" s="2" t="s">
        <v>11091</v>
      </c>
      <c r="F989" s="3" t="s">
        <v>61</v>
      </c>
      <c r="G989" s="3" t="s">
        <v>60</v>
      </c>
      <c r="H989" s="3" t="s">
        <v>61</v>
      </c>
      <c r="I989" s="3" t="s">
        <v>61</v>
      </c>
      <c r="J989" s="3" t="s">
        <v>62</v>
      </c>
      <c r="K989" s="2" t="s">
        <v>11092</v>
      </c>
      <c r="L989" s="2" t="s">
        <v>11093</v>
      </c>
      <c r="M989" s="3" t="s">
        <v>205</v>
      </c>
      <c r="O989" s="3" t="s">
        <v>114</v>
      </c>
      <c r="P989" s="3" t="s">
        <v>235</v>
      </c>
      <c r="R989" s="3" t="s">
        <v>68</v>
      </c>
      <c r="S989" s="4">
        <v>4</v>
      </c>
      <c r="T989" s="4">
        <v>4</v>
      </c>
      <c r="U989" s="5" t="s">
        <v>8261</v>
      </c>
      <c r="V989" s="5" t="s">
        <v>8261</v>
      </c>
      <c r="W989" s="5" t="s">
        <v>9183</v>
      </c>
      <c r="X989" s="5" t="s">
        <v>9183</v>
      </c>
      <c r="Y989" s="4">
        <v>151</v>
      </c>
      <c r="Z989" s="4">
        <v>139</v>
      </c>
      <c r="AA989" s="4">
        <v>178</v>
      </c>
      <c r="AB989" s="4">
        <v>1</v>
      </c>
      <c r="AC989" s="4">
        <v>1</v>
      </c>
      <c r="AD989" s="4">
        <v>3</v>
      </c>
      <c r="AE989" s="4">
        <v>3</v>
      </c>
      <c r="AF989" s="4">
        <v>1</v>
      </c>
      <c r="AG989" s="4">
        <v>1</v>
      </c>
      <c r="AH989" s="4">
        <v>1</v>
      </c>
      <c r="AI989" s="4">
        <v>1</v>
      </c>
      <c r="AJ989" s="4">
        <v>2</v>
      </c>
      <c r="AK989" s="4">
        <v>2</v>
      </c>
      <c r="AL989" s="4">
        <v>0</v>
      </c>
      <c r="AM989" s="4">
        <v>0</v>
      </c>
      <c r="AN989" s="4">
        <v>0</v>
      </c>
      <c r="AO989" s="4">
        <v>0</v>
      </c>
      <c r="AP989" s="3" t="s">
        <v>61</v>
      </c>
      <c r="AQ989" s="3" t="s">
        <v>61</v>
      </c>
      <c r="AS989" s="6" t="str">
        <f>HYPERLINK("https://creighton-primo.hosted.exlibrisgroup.com/primo-explore/search?tab=default_tab&amp;search_scope=EVERYTHING&amp;vid=01CRU&amp;lang=en_US&amp;offset=0&amp;query=any,contains,991000464819702656","Catalog Record")</f>
        <v>Catalog Record</v>
      </c>
      <c r="AT989" s="6" t="str">
        <f>HYPERLINK("http://www.worldcat.org/oclc/10949962","WorldCat Record")</f>
        <v>WorldCat Record</v>
      </c>
      <c r="AU989" s="3" t="s">
        <v>11094</v>
      </c>
      <c r="AV989" s="3" t="s">
        <v>11095</v>
      </c>
      <c r="AW989" s="3" t="s">
        <v>11096</v>
      </c>
      <c r="AX989" s="3" t="s">
        <v>11096</v>
      </c>
      <c r="AY989" s="3" t="s">
        <v>11097</v>
      </c>
      <c r="AZ989" s="3" t="s">
        <v>75</v>
      </c>
      <c r="BB989" s="3" t="s">
        <v>11098</v>
      </c>
      <c r="BC989" s="3" t="s">
        <v>11099</v>
      </c>
      <c r="BD989" s="3" t="s">
        <v>11100</v>
      </c>
    </row>
    <row r="990" spans="1:56" ht="44.25" customHeight="1" x14ac:dyDescent="0.25">
      <c r="A990" s="7" t="s">
        <v>61</v>
      </c>
      <c r="B990" s="2" t="s">
        <v>11101</v>
      </c>
      <c r="C990" s="2" t="s">
        <v>11102</v>
      </c>
      <c r="D990" s="2" t="s">
        <v>11103</v>
      </c>
      <c r="F990" s="3" t="s">
        <v>61</v>
      </c>
      <c r="G990" s="3" t="s">
        <v>60</v>
      </c>
      <c r="H990" s="3" t="s">
        <v>61</v>
      </c>
      <c r="I990" s="3" t="s">
        <v>61</v>
      </c>
      <c r="J990" s="3" t="s">
        <v>62</v>
      </c>
      <c r="K990" s="2" t="s">
        <v>11104</v>
      </c>
      <c r="L990" s="2" t="s">
        <v>11105</v>
      </c>
      <c r="M990" s="3" t="s">
        <v>784</v>
      </c>
      <c r="N990" s="2" t="s">
        <v>11106</v>
      </c>
      <c r="O990" s="3" t="s">
        <v>114</v>
      </c>
      <c r="P990" s="3" t="s">
        <v>235</v>
      </c>
      <c r="R990" s="3" t="s">
        <v>68</v>
      </c>
      <c r="S990" s="4">
        <v>4</v>
      </c>
      <c r="T990" s="4">
        <v>4</v>
      </c>
      <c r="U990" s="5" t="s">
        <v>8847</v>
      </c>
      <c r="V990" s="5" t="s">
        <v>8847</v>
      </c>
      <c r="W990" s="5" t="s">
        <v>5051</v>
      </c>
      <c r="X990" s="5" t="s">
        <v>5051</v>
      </c>
      <c r="Y990" s="4">
        <v>444</v>
      </c>
      <c r="Z990" s="4">
        <v>430</v>
      </c>
      <c r="AA990" s="4">
        <v>653</v>
      </c>
      <c r="AB990" s="4">
        <v>5</v>
      </c>
      <c r="AC990" s="4">
        <v>6</v>
      </c>
      <c r="AD990" s="4">
        <v>14</v>
      </c>
      <c r="AE990" s="4">
        <v>23</v>
      </c>
      <c r="AF990" s="4">
        <v>5</v>
      </c>
      <c r="AG990" s="4">
        <v>9</v>
      </c>
      <c r="AH990" s="4">
        <v>3</v>
      </c>
      <c r="AI990" s="4">
        <v>4</v>
      </c>
      <c r="AJ990" s="4">
        <v>6</v>
      </c>
      <c r="AK990" s="4">
        <v>12</v>
      </c>
      <c r="AL990" s="4">
        <v>4</v>
      </c>
      <c r="AM990" s="4">
        <v>5</v>
      </c>
      <c r="AN990" s="4">
        <v>0</v>
      </c>
      <c r="AO990" s="4">
        <v>0</v>
      </c>
      <c r="AP990" s="3" t="s">
        <v>61</v>
      </c>
      <c r="AQ990" s="3" t="s">
        <v>59</v>
      </c>
      <c r="AR990" s="6" t="str">
        <f>HYPERLINK("http://catalog.hathitrust.org/Record/000594506","HathiTrust Record")</f>
        <v>HathiTrust Record</v>
      </c>
      <c r="AS990" s="6" t="str">
        <f>HYPERLINK("https://creighton-primo.hosted.exlibrisgroup.com/primo-explore/search?tab=default_tab&amp;search_scope=EVERYTHING&amp;vid=01CRU&amp;lang=en_US&amp;offset=0&amp;query=any,contains,991002782579702656","Catalog Record")</f>
        <v>Catalog Record</v>
      </c>
      <c r="AT990" s="6" t="str">
        <f>HYPERLINK("http://www.worldcat.org/oclc/440735","WorldCat Record")</f>
        <v>WorldCat Record</v>
      </c>
      <c r="AU990" s="3" t="s">
        <v>11107</v>
      </c>
      <c r="AV990" s="3" t="s">
        <v>11108</v>
      </c>
      <c r="AW990" s="3" t="s">
        <v>11109</v>
      </c>
      <c r="AX990" s="3" t="s">
        <v>11109</v>
      </c>
      <c r="AY990" s="3" t="s">
        <v>11110</v>
      </c>
      <c r="AZ990" s="3" t="s">
        <v>75</v>
      </c>
      <c r="BC990" s="3" t="s">
        <v>11111</v>
      </c>
      <c r="BD990" s="3" t="s">
        <v>11112</v>
      </c>
    </row>
    <row r="991" spans="1:56" ht="44.25" customHeight="1" x14ac:dyDescent="0.25">
      <c r="A991" s="7" t="s">
        <v>61</v>
      </c>
      <c r="B991" s="2" t="s">
        <v>11113</v>
      </c>
      <c r="C991" s="2" t="s">
        <v>11114</v>
      </c>
      <c r="D991" s="2" t="s">
        <v>11115</v>
      </c>
      <c r="F991" s="3" t="s">
        <v>61</v>
      </c>
      <c r="G991" s="3" t="s">
        <v>60</v>
      </c>
      <c r="H991" s="3" t="s">
        <v>61</v>
      </c>
      <c r="I991" s="3" t="s">
        <v>61</v>
      </c>
      <c r="J991" s="3" t="s">
        <v>62</v>
      </c>
      <c r="K991" s="2" t="s">
        <v>9291</v>
      </c>
      <c r="L991" s="2" t="s">
        <v>11116</v>
      </c>
      <c r="M991" s="3" t="s">
        <v>2391</v>
      </c>
      <c r="O991" s="3" t="s">
        <v>114</v>
      </c>
      <c r="P991" s="3" t="s">
        <v>235</v>
      </c>
      <c r="R991" s="3" t="s">
        <v>68</v>
      </c>
      <c r="S991" s="4">
        <v>8</v>
      </c>
      <c r="T991" s="4">
        <v>8</v>
      </c>
      <c r="U991" s="5" t="s">
        <v>2058</v>
      </c>
      <c r="V991" s="5" t="s">
        <v>2058</v>
      </c>
      <c r="W991" s="5" t="s">
        <v>11117</v>
      </c>
      <c r="X991" s="5" t="s">
        <v>11117</v>
      </c>
      <c r="Y991" s="4">
        <v>2888</v>
      </c>
      <c r="Z991" s="4">
        <v>2775</v>
      </c>
      <c r="AA991" s="4">
        <v>3244</v>
      </c>
      <c r="AB991" s="4">
        <v>42</v>
      </c>
      <c r="AC991" s="4">
        <v>48</v>
      </c>
      <c r="AD991" s="4">
        <v>36</v>
      </c>
      <c r="AE991" s="4">
        <v>41</v>
      </c>
      <c r="AF991" s="4">
        <v>18</v>
      </c>
      <c r="AG991" s="4">
        <v>18</v>
      </c>
      <c r="AH991" s="4">
        <v>4</v>
      </c>
      <c r="AI991" s="4">
        <v>6</v>
      </c>
      <c r="AJ991" s="4">
        <v>13</v>
      </c>
      <c r="AK991" s="4">
        <v>15</v>
      </c>
      <c r="AL991" s="4">
        <v>8</v>
      </c>
      <c r="AM991" s="4">
        <v>10</v>
      </c>
      <c r="AN991" s="4">
        <v>0</v>
      </c>
      <c r="AO991" s="4">
        <v>0</v>
      </c>
      <c r="AP991" s="3" t="s">
        <v>61</v>
      </c>
      <c r="AQ991" s="3" t="s">
        <v>59</v>
      </c>
      <c r="AR991" s="6" t="str">
        <f>HYPERLINK("http://catalog.hathitrust.org/Record/004197588","HathiTrust Record")</f>
        <v>HathiTrust Record</v>
      </c>
      <c r="AS991" s="6" t="str">
        <f>HYPERLINK("https://creighton-primo.hosted.exlibrisgroup.com/primo-explore/search?tab=default_tab&amp;search_scope=EVERYTHING&amp;vid=01CRU&amp;lang=en_US&amp;offset=0&amp;query=any,contains,991003541689702656","Catalog Record")</f>
        <v>Catalog Record</v>
      </c>
      <c r="AT991" s="6" t="str">
        <f>HYPERLINK("http://www.worldcat.org/oclc/46419848","WorldCat Record")</f>
        <v>WorldCat Record</v>
      </c>
      <c r="AU991" s="3" t="s">
        <v>11118</v>
      </c>
      <c r="AV991" s="3" t="s">
        <v>11119</v>
      </c>
      <c r="AW991" s="3" t="s">
        <v>11120</v>
      </c>
      <c r="AX991" s="3" t="s">
        <v>11120</v>
      </c>
      <c r="AY991" s="3" t="s">
        <v>11121</v>
      </c>
      <c r="AZ991" s="3" t="s">
        <v>75</v>
      </c>
      <c r="BB991" s="3" t="s">
        <v>11122</v>
      </c>
      <c r="BC991" s="3" t="s">
        <v>11123</v>
      </c>
      <c r="BD991" s="3" t="s">
        <v>11124</v>
      </c>
    </row>
    <row r="992" spans="1:56" ht="44.25" customHeight="1" x14ac:dyDescent="0.25">
      <c r="A992" s="7" t="s">
        <v>61</v>
      </c>
      <c r="B992" s="2" t="s">
        <v>11125</v>
      </c>
      <c r="C992" s="2" t="s">
        <v>11126</v>
      </c>
      <c r="D992" s="2" t="s">
        <v>11127</v>
      </c>
      <c r="F992" s="3" t="s">
        <v>61</v>
      </c>
      <c r="G992" s="3" t="s">
        <v>60</v>
      </c>
      <c r="H992" s="3" t="s">
        <v>61</v>
      </c>
      <c r="I992" s="3" t="s">
        <v>61</v>
      </c>
      <c r="J992" s="3" t="s">
        <v>62</v>
      </c>
      <c r="K992" s="2" t="s">
        <v>11128</v>
      </c>
      <c r="L992" s="2" t="s">
        <v>11129</v>
      </c>
      <c r="M992" s="3" t="s">
        <v>466</v>
      </c>
      <c r="O992" s="3" t="s">
        <v>114</v>
      </c>
      <c r="P992" s="3" t="s">
        <v>6467</v>
      </c>
      <c r="R992" s="3" t="s">
        <v>68</v>
      </c>
      <c r="S992" s="4">
        <v>5</v>
      </c>
      <c r="T992" s="4">
        <v>5</v>
      </c>
      <c r="U992" s="5" t="s">
        <v>11130</v>
      </c>
      <c r="V992" s="5" t="s">
        <v>11130</v>
      </c>
      <c r="W992" s="5" t="s">
        <v>11131</v>
      </c>
      <c r="X992" s="5" t="s">
        <v>11131</v>
      </c>
      <c r="Y992" s="4">
        <v>588</v>
      </c>
      <c r="Z992" s="4">
        <v>553</v>
      </c>
      <c r="AA992" s="4">
        <v>800</v>
      </c>
      <c r="AB992" s="4">
        <v>4</v>
      </c>
      <c r="AC992" s="4">
        <v>4</v>
      </c>
      <c r="AD992" s="4">
        <v>11</v>
      </c>
      <c r="AE992" s="4">
        <v>23</v>
      </c>
      <c r="AF992" s="4">
        <v>5</v>
      </c>
      <c r="AG992" s="4">
        <v>11</v>
      </c>
      <c r="AH992" s="4">
        <v>1</v>
      </c>
      <c r="AI992" s="4">
        <v>5</v>
      </c>
      <c r="AJ992" s="4">
        <v>7</v>
      </c>
      <c r="AK992" s="4">
        <v>14</v>
      </c>
      <c r="AL992" s="4">
        <v>1</v>
      </c>
      <c r="AM992" s="4">
        <v>1</v>
      </c>
      <c r="AN992" s="4">
        <v>0</v>
      </c>
      <c r="AO992" s="4">
        <v>0</v>
      </c>
      <c r="AP992" s="3" t="s">
        <v>61</v>
      </c>
      <c r="AQ992" s="3" t="s">
        <v>59</v>
      </c>
      <c r="AR992" s="6" t="str">
        <f>HYPERLINK("http://catalog.hathitrust.org/Record/000031585","HathiTrust Record")</f>
        <v>HathiTrust Record</v>
      </c>
      <c r="AS992" s="6" t="str">
        <f>HYPERLINK("https://creighton-primo.hosted.exlibrisgroup.com/primo-explore/search?tab=default_tab&amp;search_scope=EVERYTHING&amp;vid=01CRU&amp;lang=en_US&amp;offset=0&amp;query=any,contains,991004595739702656","Catalog Record")</f>
        <v>Catalog Record</v>
      </c>
      <c r="AT992" s="6" t="str">
        <f>HYPERLINK("http://www.worldcat.org/oclc/4136595","WorldCat Record")</f>
        <v>WorldCat Record</v>
      </c>
      <c r="AU992" s="3" t="s">
        <v>11132</v>
      </c>
      <c r="AV992" s="3" t="s">
        <v>11133</v>
      </c>
      <c r="AW992" s="3" t="s">
        <v>11134</v>
      </c>
      <c r="AX992" s="3" t="s">
        <v>11134</v>
      </c>
      <c r="AY992" s="3" t="s">
        <v>11135</v>
      </c>
      <c r="AZ992" s="3" t="s">
        <v>75</v>
      </c>
      <c r="BB992" s="3" t="s">
        <v>11136</v>
      </c>
      <c r="BC992" s="3" t="s">
        <v>11137</v>
      </c>
      <c r="BD992" s="3" t="s">
        <v>11138</v>
      </c>
    </row>
    <row r="993" spans="1:56" ht="44.25" customHeight="1" x14ac:dyDescent="0.25">
      <c r="A993" s="7" t="s">
        <v>61</v>
      </c>
      <c r="B993" s="2" t="s">
        <v>11139</v>
      </c>
      <c r="C993" s="2" t="s">
        <v>11140</v>
      </c>
      <c r="D993" s="2" t="s">
        <v>11141</v>
      </c>
      <c r="F993" s="3" t="s">
        <v>61</v>
      </c>
      <c r="G993" s="3" t="s">
        <v>60</v>
      </c>
      <c r="H993" s="3" t="s">
        <v>61</v>
      </c>
      <c r="I993" s="3" t="s">
        <v>61</v>
      </c>
      <c r="J993" s="3" t="s">
        <v>62</v>
      </c>
      <c r="K993" s="2" t="s">
        <v>11142</v>
      </c>
      <c r="L993" s="2" t="s">
        <v>11143</v>
      </c>
      <c r="M993" s="3" t="s">
        <v>870</v>
      </c>
      <c r="O993" s="3" t="s">
        <v>114</v>
      </c>
      <c r="P993" s="3" t="s">
        <v>235</v>
      </c>
      <c r="R993" s="3" t="s">
        <v>68</v>
      </c>
      <c r="S993" s="4">
        <v>7</v>
      </c>
      <c r="T993" s="4">
        <v>7</v>
      </c>
      <c r="U993" s="5" t="s">
        <v>11144</v>
      </c>
      <c r="V993" s="5" t="s">
        <v>11144</v>
      </c>
      <c r="W993" s="5" t="s">
        <v>11145</v>
      </c>
      <c r="X993" s="5" t="s">
        <v>11145</v>
      </c>
      <c r="Y993" s="4">
        <v>787</v>
      </c>
      <c r="Z993" s="4">
        <v>768</v>
      </c>
      <c r="AA993" s="4">
        <v>1392</v>
      </c>
      <c r="AB993" s="4">
        <v>11</v>
      </c>
      <c r="AC993" s="4">
        <v>20</v>
      </c>
      <c r="AD993" s="4">
        <v>9</v>
      </c>
      <c r="AE993" s="4">
        <v>13</v>
      </c>
      <c r="AF993" s="4">
        <v>4</v>
      </c>
      <c r="AG993" s="4">
        <v>5</v>
      </c>
      <c r="AH993" s="4">
        <v>1</v>
      </c>
      <c r="AI993" s="4">
        <v>3</v>
      </c>
      <c r="AJ993" s="4">
        <v>3</v>
      </c>
      <c r="AK993" s="4">
        <v>5</v>
      </c>
      <c r="AL993" s="4">
        <v>2</v>
      </c>
      <c r="AM993" s="4">
        <v>3</v>
      </c>
      <c r="AN993" s="4">
        <v>0</v>
      </c>
      <c r="AO993" s="4">
        <v>0</v>
      </c>
      <c r="AP993" s="3" t="s">
        <v>61</v>
      </c>
      <c r="AQ993" s="3" t="s">
        <v>59</v>
      </c>
      <c r="AR993" s="6" t="str">
        <f>HYPERLINK("http://catalog.hathitrust.org/Record/000592993","HathiTrust Record")</f>
        <v>HathiTrust Record</v>
      </c>
      <c r="AS993" s="6" t="str">
        <f>HYPERLINK("https://creighton-primo.hosted.exlibrisgroup.com/primo-explore/search?tab=default_tab&amp;search_scope=EVERYTHING&amp;vid=01CRU&amp;lang=en_US&amp;offset=0&amp;query=any,contains,991004022699702656","Catalog Record")</f>
        <v>Catalog Record</v>
      </c>
      <c r="AT993" s="6" t="str">
        <f>HYPERLINK("http://www.worldcat.org/oclc/2124961","WorldCat Record")</f>
        <v>WorldCat Record</v>
      </c>
      <c r="AU993" s="3" t="s">
        <v>11146</v>
      </c>
      <c r="AV993" s="3" t="s">
        <v>11147</v>
      </c>
      <c r="AW993" s="3" t="s">
        <v>11148</v>
      </c>
      <c r="AX993" s="3" t="s">
        <v>11148</v>
      </c>
      <c r="AY993" s="3" t="s">
        <v>11149</v>
      </c>
      <c r="AZ993" s="3" t="s">
        <v>75</v>
      </c>
      <c r="BC993" s="3" t="s">
        <v>11150</v>
      </c>
      <c r="BD993" s="3" t="s">
        <v>11151</v>
      </c>
    </row>
    <row r="994" spans="1:56" ht="44.25" customHeight="1" x14ac:dyDescent="0.25">
      <c r="A994" s="7" t="s">
        <v>61</v>
      </c>
      <c r="B994" s="2" t="s">
        <v>11152</v>
      </c>
      <c r="C994" s="2" t="s">
        <v>11153</v>
      </c>
      <c r="D994" s="2" t="s">
        <v>11154</v>
      </c>
      <c r="F994" s="3" t="s">
        <v>61</v>
      </c>
      <c r="G994" s="3" t="s">
        <v>60</v>
      </c>
      <c r="H994" s="3" t="s">
        <v>61</v>
      </c>
      <c r="I994" s="3" t="s">
        <v>61</v>
      </c>
      <c r="J994" s="3" t="s">
        <v>62</v>
      </c>
      <c r="K994" s="2" t="s">
        <v>11155</v>
      </c>
      <c r="L994" s="2" t="s">
        <v>11156</v>
      </c>
      <c r="M994" s="3" t="s">
        <v>407</v>
      </c>
      <c r="O994" s="3" t="s">
        <v>114</v>
      </c>
      <c r="P994" s="3" t="s">
        <v>115</v>
      </c>
      <c r="R994" s="3" t="s">
        <v>68</v>
      </c>
      <c r="S994" s="4">
        <v>7</v>
      </c>
      <c r="T994" s="4">
        <v>7</v>
      </c>
      <c r="U994" s="5" t="s">
        <v>11157</v>
      </c>
      <c r="V994" s="5" t="s">
        <v>11157</v>
      </c>
      <c r="W994" s="5" t="s">
        <v>11158</v>
      </c>
      <c r="X994" s="5" t="s">
        <v>11158</v>
      </c>
      <c r="Y994" s="4">
        <v>879</v>
      </c>
      <c r="Z994" s="4">
        <v>857</v>
      </c>
      <c r="AA994" s="4">
        <v>953</v>
      </c>
      <c r="AB994" s="4">
        <v>11</v>
      </c>
      <c r="AC994" s="4">
        <v>13</v>
      </c>
      <c r="AD994" s="4">
        <v>13</v>
      </c>
      <c r="AE994" s="4">
        <v>15</v>
      </c>
      <c r="AF994" s="4">
        <v>2</v>
      </c>
      <c r="AG994" s="4">
        <v>3</v>
      </c>
      <c r="AH994" s="4">
        <v>3</v>
      </c>
      <c r="AI994" s="4">
        <v>4</v>
      </c>
      <c r="AJ994" s="4">
        <v>6</v>
      </c>
      <c r="AK994" s="4">
        <v>7</v>
      </c>
      <c r="AL994" s="4">
        <v>3</v>
      </c>
      <c r="AM994" s="4">
        <v>3</v>
      </c>
      <c r="AN994" s="4">
        <v>1</v>
      </c>
      <c r="AO994" s="4">
        <v>1</v>
      </c>
      <c r="AP994" s="3" t="s">
        <v>61</v>
      </c>
      <c r="AQ994" s="3" t="s">
        <v>59</v>
      </c>
      <c r="AR994" s="6" t="str">
        <f>HYPERLINK("http://catalog.hathitrust.org/Record/002973180","HathiTrust Record")</f>
        <v>HathiTrust Record</v>
      </c>
      <c r="AS994" s="6" t="str">
        <f>HYPERLINK("https://creighton-primo.hosted.exlibrisgroup.com/primo-explore/search?tab=default_tab&amp;search_scope=EVERYTHING&amp;vid=01CRU&amp;lang=en_US&amp;offset=0&amp;query=any,contains,991002406539702656","Catalog Record")</f>
        <v>Catalog Record</v>
      </c>
      <c r="AT994" s="6" t="str">
        <f>HYPERLINK("http://www.worldcat.org/oclc/31295136","WorldCat Record")</f>
        <v>WorldCat Record</v>
      </c>
      <c r="AU994" s="3" t="s">
        <v>11159</v>
      </c>
      <c r="AV994" s="3" t="s">
        <v>11160</v>
      </c>
      <c r="AW994" s="3" t="s">
        <v>11161</v>
      </c>
      <c r="AX994" s="3" t="s">
        <v>11161</v>
      </c>
      <c r="AY994" s="3" t="s">
        <v>11162</v>
      </c>
      <c r="AZ994" s="3" t="s">
        <v>75</v>
      </c>
      <c r="BB994" s="3" t="s">
        <v>11163</v>
      </c>
      <c r="BC994" s="3" t="s">
        <v>11164</v>
      </c>
      <c r="BD994" s="3" t="s">
        <v>11165</v>
      </c>
    </row>
    <row r="995" spans="1:56" ht="44.25" customHeight="1" x14ac:dyDescent="0.25">
      <c r="A995" s="7" t="s">
        <v>61</v>
      </c>
      <c r="B995" s="2" t="s">
        <v>11166</v>
      </c>
      <c r="C995" s="2" t="s">
        <v>11167</v>
      </c>
      <c r="D995" s="2" t="s">
        <v>11168</v>
      </c>
      <c r="F995" s="3" t="s">
        <v>61</v>
      </c>
      <c r="G995" s="3" t="s">
        <v>60</v>
      </c>
      <c r="H995" s="3" t="s">
        <v>61</v>
      </c>
      <c r="I995" s="3" t="s">
        <v>61</v>
      </c>
      <c r="J995" s="3" t="s">
        <v>62</v>
      </c>
      <c r="K995" s="2" t="s">
        <v>11169</v>
      </c>
      <c r="L995" s="2" t="s">
        <v>11170</v>
      </c>
      <c r="M995" s="3" t="s">
        <v>436</v>
      </c>
      <c r="N995" s="2" t="s">
        <v>634</v>
      </c>
      <c r="O995" s="3" t="s">
        <v>114</v>
      </c>
      <c r="P995" s="3" t="s">
        <v>11171</v>
      </c>
      <c r="Q995" s="2" t="s">
        <v>11172</v>
      </c>
      <c r="R995" s="3" t="s">
        <v>68</v>
      </c>
      <c r="S995" s="4">
        <v>1</v>
      </c>
      <c r="T995" s="4">
        <v>1</v>
      </c>
      <c r="U995" s="5" t="s">
        <v>11173</v>
      </c>
      <c r="V995" s="5" t="s">
        <v>11173</v>
      </c>
      <c r="W995" s="5" t="s">
        <v>11174</v>
      </c>
      <c r="X995" s="5" t="s">
        <v>11174</v>
      </c>
      <c r="Y995" s="4">
        <v>387</v>
      </c>
      <c r="Z995" s="4">
        <v>370</v>
      </c>
      <c r="AA995" s="4">
        <v>379</v>
      </c>
      <c r="AB995" s="4">
        <v>4</v>
      </c>
      <c r="AC995" s="4">
        <v>4</v>
      </c>
      <c r="AD995" s="4">
        <v>10</v>
      </c>
      <c r="AE995" s="4">
        <v>10</v>
      </c>
      <c r="AF995" s="4">
        <v>4</v>
      </c>
      <c r="AG995" s="4">
        <v>4</v>
      </c>
      <c r="AH995" s="4">
        <v>3</v>
      </c>
      <c r="AI995" s="4">
        <v>3</v>
      </c>
      <c r="AJ995" s="4">
        <v>3</v>
      </c>
      <c r="AK995" s="4">
        <v>3</v>
      </c>
      <c r="AL995" s="4">
        <v>2</v>
      </c>
      <c r="AM995" s="4">
        <v>2</v>
      </c>
      <c r="AN995" s="4">
        <v>0</v>
      </c>
      <c r="AO995" s="4">
        <v>0</v>
      </c>
      <c r="AP995" s="3" t="s">
        <v>61</v>
      </c>
      <c r="AQ995" s="3" t="s">
        <v>59</v>
      </c>
      <c r="AR995" s="6" t="str">
        <f>HYPERLINK("http://catalog.hathitrust.org/Record/002454779","HathiTrust Record")</f>
        <v>HathiTrust Record</v>
      </c>
      <c r="AS995" s="6" t="str">
        <f>HYPERLINK("https://creighton-primo.hosted.exlibrisgroup.com/primo-explore/search?tab=default_tab&amp;search_scope=EVERYTHING&amp;vid=01CRU&amp;lang=en_US&amp;offset=0&amp;query=any,contains,991001573619702656","Catalog Record")</f>
        <v>Catalog Record</v>
      </c>
      <c r="AT995" s="6" t="str">
        <f>HYPERLINK("http://www.worldcat.org/oclc/20417857","WorldCat Record")</f>
        <v>WorldCat Record</v>
      </c>
      <c r="AU995" s="3" t="s">
        <v>11175</v>
      </c>
      <c r="AV995" s="3" t="s">
        <v>11176</v>
      </c>
      <c r="AW995" s="3" t="s">
        <v>11177</v>
      </c>
      <c r="AX995" s="3" t="s">
        <v>11177</v>
      </c>
      <c r="AY995" s="3" t="s">
        <v>11178</v>
      </c>
      <c r="AZ995" s="3" t="s">
        <v>75</v>
      </c>
      <c r="BB995" s="3" t="s">
        <v>11179</v>
      </c>
      <c r="BC995" s="3" t="s">
        <v>11180</v>
      </c>
      <c r="BD995" s="3" t="s">
        <v>11181</v>
      </c>
    </row>
    <row r="996" spans="1:56" ht="44.25" customHeight="1" x14ac:dyDescent="0.25">
      <c r="A996" s="7" t="s">
        <v>61</v>
      </c>
      <c r="B996" s="2" t="s">
        <v>11182</v>
      </c>
      <c r="C996" s="2" t="s">
        <v>11183</v>
      </c>
      <c r="D996" s="2" t="s">
        <v>11184</v>
      </c>
      <c r="F996" s="3" t="s">
        <v>61</v>
      </c>
      <c r="G996" s="3" t="s">
        <v>60</v>
      </c>
      <c r="H996" s="3" t="s">
        <v>61</v>
      </c>
      <c r="I996" s="3" t="s">
        <v>61</v>
      </c>
      <c r="J996" s="3" t="s">
        <v>62</v>
      </c>
      <c r="K996" s="2" t="s">
        <v>11185</v>
      </c>
      <c r="L996" s="2" t="s">
        <v>11186</v>
      </c>
      <c r="M996" s="3" t="s">
        <v>1074</v>
      </c>
      <c r="O996" s="3" t="s">
        <v>114</v>
      </c>
      <c r="P996" s="3" t="s">
        <v>235</v>
      </c>
      <c r="R996" s="3" t="s">
        <v>68</v>
      </c>
      <c r="S996" s="4">
        <v>6</v>
      </c>
      <c r="T996" s="4">
        <v>6</v>
      </c>
      <c r="U996" s="5" t="s">
        <v>6379</v>
      </c>
      <c r="V996" s="5" t="s">
        <v>6379</v>
      </c>
      <c r="W996" s="5" t="s">
        <v>11040</v>
      </c>
      <c r="X996" s="5" t="s">
        <v>11040</v>
      </c>
      <c r="Y996" s="4">
        <v>959</v>
      </c>
      <c r="Z996" s="4">
        <v>855</v>
      </c>
      <c r="AA996" s="4">
        <v>1158</v>
      </c>
      <c r="AB996" s="4">
        <v>5</v>
      </c>
      <c r="AC996" s="4">
        <v>9</v>
      </c>
      <c r="AD996" s="4">
        <v>39</v>
      </c>
      <c r="AE996" s="4">
        <v>51</v>
      </c>
      <c r="AF996" s="4">
        <v>19</v>
      </c>
      <c r="AG996" s="4">
        <v>22</v>
      </c>
      <c r="AH996" s="4">
        <v>8</v>
      </c>
      <c r="AI996" s="4">
        <v>10</v>
      </c>
      <c r="AJ996" s="4">
        <v>18</v>
      </c>
      <c r="AK996" s="4">
        <v>21</v>
      </c>
      <c r="AL996" s="4">
        <v>4</v>
      </c>
      <c r="AM996" s="4">
        <v>8</v>
      </c>
      <c r="AN996" s="4">
        <v>0</v>
      </c>
      <c r="AO996" s="4">
        <v>1</v>
      </c>
      <c r="AP996" s="3" t="s">
        <v>61</v>
      </c>
      <c r="AQ996" s="3" t="s">
        <v>61</v>
      </c>
      <c r="AS996" s="6" t="str">
        <f>HYPERLINK("https://creighton-primo.hosted.exlibrisgroup.com/primo-explore/search?tab=default_tab&amp;search_scope=EVERYTHING&amp;vid=01CRU&amp;lang=en_US&amp;offset=0&amp;query=any,contains,991000591619702656","Catalog Record")</f>
        <v>Catalog Record</v>
      </c>
      <c r="AT996" s="6" t="str">
        <f>HYPERLINK("http://www.worldcat.org/oclc/11785450","WorldCat Record")</f>
        <v>WorldCat Record</v>
      </c>
      <c r="AU996" s="3" t="s">
        <v>11187</v>
      </c>
      <c r="AV996" s="3" t="s">
        <v>11188</v>
      </c>
      <c r="AW996" s="3" t="s">
        <v>11189</v>
      </c>
      <c r="AX996" s="3" t="s">
        <v>11189</v>
      </c>
      <c r="AY996" s="3" t="s">
        <v>11190</v>
      </c>
      <c r="AZ996" s="3" t="s">
        <v>75</v>
      </c>
      <c r="BB996" s="3" t="s">
        <v>11191</v>
      </c>
      <c r="BC996" s="3" t="s">
        <v>11192</v>
      </c>
      <c r="BD996" s="3" t="s">
        <v>11193</v>
      </c>
    </row>
    <row r="997" spans="1:56" ht="44.25" customHeight="1" x14ac:dyDescent="0.25">
      <c r="A997" s="7" t="s">
        <v>61</v>
      </c>
      <c r="B997" s="2" t="s">
        <v>11194</v>
      </c>
      <c r="C997" s="2" t="s">
        <v>11195</v>
      </c>
      <c r="D997" s="2" t="s">
        <v>11196</v>
      </c>
      <c r="F997" s="3" t="s">
        <v>61</v>
      </c>
      <c r="G997" s="3" t="s">
        <v>60</v>
      </c>
      <c r="H997" s="3" t="s">
        <v>61</v>
      </c>
      <c r="I997" s="3" t="s">
        <v>61</v>
      </c>
      <c r="J997" s="3" t="s">
        <v>62</v>
      </c>
      <c r="K997" s="2" t="s">
        <v>11197</v>
      </c>
      <c r="L997" s="2" t="s">
        <v>11198</v>
      </c>
      <c r="M997" s="3" t="s">
        <v>1465</v>
      </c>
      <c r="O997" s="3" t="s">
        <v>114</v>
      </c>
      <c r="P997" s="3" t="s">
        <v>235</v>
      </c>
      <c r="Q997" s="2" t="s">
        <v>11199</v>
      </c>
      <c r="R997" s="3" t="s">
        <v>68</v>
      </c>
      <c r="S997" s="4">
        <v>3</v>
      </c>
      <c r="T997" s="4">
        <v>3</v>
      </c>
      <c r="U997" s="5" t="s">
        <v>11200</v>
      </c>
      <c r="V997" s="5" t="s">
        <v>11200</v>
      </c>
      <c r="W997" s="5" t="s">
        <v>11201</v>
      </c>
      <c r="X997" s="5" t="s">
        <v>11201</v>
      </c>
      <c r="Y997" s="4">
        <v>172</v>
      </c>
      <c r="Z997" s="4">
        <v>126</v>
      </c>
      <c r="AA997" s="4">
        <v>129</v>
      </c>
      <c r="AB997" s="4">
        <v>1</v>
      </c>
      <c r="AC997" s="4">
        <v>1</v>
      </c>
      <c r="AD997" s="4">
        <v>9</v>
      </c>
      <c r="AE997" s="4">
        <v>9</v>
      </c>
      <c r="AF997" s="4">
        <v>4</v>
      </c>
      <c r="AG997" s="4">
        <v>4</v>
      </c>
      <c r="AH997" s="4">
        <v>5</v>
      </c>
      <c r="AI997" s="4">
        <v>5</v>
      </c>
      <c r="AJ997" s="4">
        <v>4</v>
      </c>
      <c r="AK997" s="4">
        <v>4</v>
      </c>
      <c r="AL997" s="4">
        <v>0</v>
      </c>
      <c r="AM997" s="4">
        <v>0</v>
      </c>
      <c r="AN997" s="4">
        <v>0</v>
      </c>
      <c r="AO997" s="4">
        <v>0</v>
      </c>
      <c r="AP997" s="3" t="s">
        <v>61</v>
      </c>
      <c r="AQ997" s="3" t="s">
        <v>59</v>
      </c>
      <c r="AR997" s="6" t="str">
        <f>HYPERLINK("http://catalog.hathitrust.org/Record/002561985","HathiTrust Record")</f>
        <v>HathiTrust Record</v>
      </c>
      <c r="AS997" s="6" t="str">
        <f>HYPERLINK("https://creighton-primo.hosted.exlibrisgroup.com/primo-explore/search?tab=default_tab&amp;search_scope=EVERYTHING&amp;vid=01CRU&amp;lang=en_US&amp;offset=0&amp;query=any,contains,991001728859702656","Catalog Record")</f>
        <v>Catalog Record</v>
      </c>
      <c r="AT997" s="6" t="str">
        <f>HYPERLINK("http://www.worldcat.org/oclc/21907737","WorldCat Record")</f>
        <v>WorldCat Record</v>
      </c>
      <c r="AU997" s="3" t="s">
        <v>11202</v>
      </c>
      <c r="AV997" s="3" t="s">
        <v>11203</v>
      </c>
      <c r="AW997" s="3" t="s">
        <v>11204</v>
      </c>
      <c r="AX997" s="3" t="s">
        <v>11204</v>
      </c>
      <c r="AY997" s="3" t="s">
        <v>11205</v>
      </c>
      <c r="AZ997" s="3" t="s">
        <v>75</v>
      </c>
      <c r="BB997" s="3" t="s">
        <v>11206</v>
      </c>
      <c r="BC997" s="3" t="s">
        <v>11207</v>
      </c>
      <c r="BD997" s="3" t="s">
        <v>11208</v>
      </c>
    </row>
    <row r="998" spans="1:56" ht="44.25" customHeight="1" x14ac:dyDescent="0.25">
      <c r="A998" s="7" t="s">
        <v>61</v>
      </c>
      <c r="B998" s="2" t="s">
        <v>11209</v>
      </c>
      <c r="C998" s="2" t="s">
        <v>11210</v>
      </c>
      <c r="D998" s="2" t="s">
        <v>11211</v>
      </c>
      <c r="F998" s="3" t="s">
        <v>61</v>
      </c>
      <c r="G998" s="3" t="s">
        <v>60</v>
      </c>
      <c r="H998" s="3" t="s">
        <v>61</v>
      </c>
      <c r="I998" s="3" t="s">
        <v>61</v>
      </c>
      <c r="J998" s="3" t="s">
        <v>62</v>
      </c>
      <c r="K998" s="2" t="s">
        <v>7483</v>
      </c>
      <c r="L998" s="2" t="s">
        <v>11212</v>
      </c>
      <c r="M998" s="3" t="s">
        <v>1074</v>
      </c>
      <c r="N998" s="2" t="s">
        <v>4614</v>
      </c>
      <c r="O998" s="3" t="s">
        <v>114</v>
      </c>
      <c r="P998" s="3" t="s">
        <v>235</v>
      </c>
      <c r="R998" s="3" t="s">
        <v>68</v>
      </c>
      <c r="S998" s="4">
        <v>5</v>
      </c>
      <c r="T998" s="4">
        <v>5</v>
      </c>
      <c r="U998" s="5" t="s">
        <v>11213</v>
      </c>
      <c r="V998" s="5" t="s">
        <v>11213</v>
      </c>
      <c r="W998" s="5" t="s">
        <v>11040</v>
      </c>
      <c r="X998" s="5" t="s">
        <v>11040</v>
      </c>
      <c r="Y998" s="4">
        <v>355</v>
      </c>
      <c r="Z998" s="4">
        <v>347</v>
      </c>
      <c r="AA998" s="4">
        <v>817</v>
      </c>
      <c r="AB998" s="4">
        <v>2</v>
      </c>
      <c r="AC998" s="4">
        <v>7</v>
      </c>
      <c r="AD998" s="4">
        <v>4</v>
      </c>
      <c r="AE998" s="4">
        <v>22</v>
      </c>
      <c r="AF998" s="4">
        <v>1</v>
      </c>
      <c r="AG998" s="4">
        <v>7</v>
      </c>
      <c r="AH998" s="4">
        <v>1</v>
      </c>
      <c r="AI998" s="4">
        <v>6</v>
      </c>
      <c r="AJ998" s="4">
        <v>2</v>
      </c>
      <c r="AK998" s="4">
        <v>6</v>
      </c>
      <c r="AL998" s="4">
        <v>1</v>
      </c>
      <c r="AM998" s="4">
        <v>5</v>
      </c>
      <c r="AN998" s="4">
        <v>0</v>
      </c>
      <c r="AO998" s="4">
        <v>1</v>
      </c>
      <c r="AP998" s="3" t="s">
        <v>61</v>
      </c>
      <c r="AQ998" s="3" t="s">
        <v>61</v>
      </c>
      <c r="AS998" s="6" t="str">
        <f>HYPERLINK("https://creighton-primo.hosted.exlibrisgroup.com/primo-explore/search?tab=default_tab&amp;search_scope=EVERYTHING&amp;vid=01CRU&amp;lang=en_US&amp;offset=0&amp;query=any,contains,991000641679702656","Catalog Record")</f>
        <v>Catalog Record</v>
      </c>
      <c r="AT998" s="6" t="str">
        <f>HYPERLINK("http://www.worldcat.org/oclc/12105843","WorldCat Record")</f>
        <v>WorldCat Record</v>
      </c>
      <c r="AU998" s="3" t="s">
        <v>11214</v>
      </c>
      <c r="AV998" s="3" t="s">
        <v>11215</v>
      </c>
      <c r="AW998" s="3" t="s">
        <v>11216</v>
      </c>
      <c r="AX998" s="3" t="s">
        <v>11216</v>
      </c>
      <c r="AY998" s="3" t="s">
        <v>11217</v>
      </c>
      <c r="AZ998" s="3" t="s">
        <v>75</v>
      </c>
      <c r="BB998" s="3" t="s">
        <v>11218</v>
      </c>
      <c r="BC998" s="3" t="s">
        <v>11219</v>
      </c>
      <c r="BD998" s="3" t="s">
        <v>11220</v>
      </c>
    </row>
    <row r="999" spans="1:56" ht="44.25" customHeight="1" x14ac:dyDescent="0.25">
      <c r="A999" s="7" t="s">
        <v>61</v>
      </c>
      <c r="B999" s="2" t="s">
        <v>11221</v>
      </c>
      <c r="C999" s="2" t="s">
        <v>11222</v>
      </c>
      <c r="D999" s="2" t="s">
        <v>11223</v>
      </c>
      <c r="F999" s="3" t="s">
        <v>61</v>
      </c>
      <c r="G999" s="3" t="s">
        <v>60</v>
      </c>
      <c r="H999" s="3" t="s">
        <v>61</v>
      </c>
      <c r="I999" s="3" t="s">
        <v>61</v>
      </c>
      <c r="J999" s="3" t="s">
        <v>62</v>
      </c>
      <c r="K999" s="2" t="s">
        <v>11224</v>
      </c>
      <c r="L999" s="2" t="s">
        <v>7655</v>
      </c>
      <c r="M999" s="3" t="s">
        <v>350</v>
      </c>
      <c r="O999" s="3" t="s">
        <v>114</v>
      </c>
      <c r="P999" s="3" t="s">
        <v>192</v>
      </c>
      <c r="R999" s="3" t="s">
        <v>68</v>
      </c>
      <c r="S999" s="4">
        <v>4</v>
      </c>
      <c r="T999" s="4">
        <v>4</v>
      </c>
      <c r="U999" s="5" t="s">
        <v>6712</v>
      </c>
      <c r="V999" s="5" t="s">
        <v>6712</v>
      </c>
      <c r="W999" s="5" t="s">
        <v>11040</v>
      </c>
      <c r="X999" s="5" t="s">
        <v>11040</v>
      </c>
      <c r="Y999" s="4">
        <v>435</v>
      </c>
      <c r="Z999" s="4">
        <v>258</v>
      </c>
      <c r="AA999" s="4">
        <v>258</v>
      </c>
      <c r="AB999" s="4">
        <v>3</v>
      </c>
      <c r="AC999" s="4">
        <v>3</v>
      </c>
      <c r="AD999" s="4">
        <v>11</v>
      </c>
      <c r="AE999" s="4">
        <v>11</v>
      </c>
      <c r="AF999" s="4">
        <v>3</v>
      </c>
      <c r="AG999" s="4">
        <v>3</v>
      </c>
      <c r="AH999" s="4">
        <v>4</v>
      </c>
      <c r="AI999" s="4">
        <v>4</v>
      </c>
      <c r="AJ999" s="4">
        <v>5</v>
      </c>
      <c r="AK999" s="4">
        <v>5</v>
      </c>
      <c r="AL999" s="4">
        <v>2</v>
      </c>
      <c r="AM999" s="4">
        <v>2</v>
      </c>
      <c r="AN999" s="4">
        <v>0</v>
      </c>
      <c r="AO999" s="4">
        <v>0</v>
      </c>
      <c r="AP999" s="3" t="s">
        <v>61</v>
      </c>
      <c r="AQ999" s="3" t="s">
        <v>61</v>
      </c>
      <c r="AS999" s="6" t="str">
        <f>HYPERLINK("https://creighton-primo.hosted.exlibrisgroup.com/primo-explore/search?tab=default_tab&amp;search_scope=EVERYTHING&amp;vid=01CRU&amp;lang=en_US&amp;offset=0&amp;query=any,contains,991004746559702656","Catalog Record")</f>
        <v>Catalog Record</v>
      </c>
      <c r="AT999" s="6" t="str">
        <f>HYPERLINK("http://www.worldcat.org/oclc/4911239","WorldCat Record")</f>
        <v>WorldCat Record</v>
      </c>
      <c r="AU999" s="3" t="s">
        <v>11225</v>
      </c>
      <c r="AV999" s="3" t="s">
        <v>11226</v>
      </c>
      <c r="AW999" s="3" t="s">
        <v>11227</v>
      </c>
      <c r="AX999" s="3" t="s">
        <v>11227</v>
      </c>
      <c r="AY999" s="3" t="s">
        <v>11228</v>
      </c>
      <c r="AZ999" s="3" t="s">
        <v>75</v>
      </c>
      <c r="BB999" s="3" t="s">
        <v>11229</v>
      </c>
      <c r="BC999" s="3" t="s">
        <v>11230</v>
      </c>
      <c r="BD999" s="3" t="s">
        <v>11231</v>
      </c>
    </row>
    <row r="1000" spans="1:56" ht="44.25" customHeight="1" x14ac:dyDescent="0.25">
      <c r="A1000" s="7" t="s">
        <v>61</v>
      </c>
      <c r="B1000" s="2" t="s">
        <v>11232</v>
      </c>
      <c r="C1000" s="2" t="s">
        <v>11233</v>
      </c>
      <c r="D1000" s="2" t="s">
        <v>11234</v>
      </c>
      <c r="F1000" s="3" t="s">
        <v>61</v>
      </c>
      <c r="G1000" s="3" t="s">
        <v>60</v>
      </c>
      <c r="H1000" s="3" t="s">
        <v>61</v>
      </c>
      <c r="I1000" s="3" t="s">
        <v>61</v>
      </c>
      <c r="J1000" s="3" t="s">
        <v>62</v>
      </c>
      <c r="L1000" s="2" t="s">
        <v>11235</v>
      </c>
      <c r="M1000" s="3" t="s">
        <v>379</v>
      </c>
      <c r="O1000" s="3" t="s">
        <v>114</v>
      </c>
      <c r="P1000" s="3" t="s">
        <v>192</v>
      </c>
      <c r="R1000" s="3" t="s">
        <v>68</v>
      </c>
      <c r="S1000" s="4">
        <v>1</v>
      </c>
      <c r="T1000" s="4">
        <v>1</v>
      </c>
      <c r="U1000" s="5" t="s">
        <v>11236</v>
      </c>
      <c r="V1000" s="5" t="s">
        <v>11236</v>
      </c>
      <c r="W1000" s="5" t="s">
        <v>11237</v>
      </c>
      <c r="X1000" s="5" t="s">
        <v>11237</v>
      </c>
      <c r="Y1000" s="4">
        <v>504</v>
      </c>
      <c r="Z1000" s="4">
        <v>393</v>
      </c>
      <c r="AA1000" s="4">
        <v>397</v>
      </c>
      <c r="AB1000" s="4">
        <v>5</v>
      </c>
      <c r="AC1000" s="4">
        <v>5</v>
      </c>
      <c r="AD1000" s="4">
        <v>30</v>
      </c>
      <c r="AE1000" s="4">
        <v>30</v>
      </c>
      <c r="AF1000" s="4">
        <v>12</v>
      </c>
      <c r="AG1000" s="4">
        <v>12</v>
      </c>
      <c r="AH1000" s="4">
        <v>8</v>
      </c>
      <c r="AI1000" s="4">
        <v>8</v>
      </c>
      <c r="AJ1000" s="4">
        <v>14</v>
      </c>
      <c r="AK1000" s="4">
        <v>14</v>
      </c>
      <c r="AL1000" s="4">
        <v>4</v>
      </c>
      <c r="AM1000" s="4">
        <v>4</v>
      </c>
      <c r="AN1000" s="4">
        <v>0</v>
      </c>
      <c r="AO1000" s="4">
        <v>0</v>
      </c>
      <c r="AP1000" s="3" t="s">
        <v>61</v>
      </c>
      <c r="AQ1000" s="3" t="s">
        <v>59</v>
      </c>
      <c r="AR1000" s="6" t="str">
        <f>HYPERLINK("http://catalog.hathitrust.org/Record/004126783","HathiTrust Record")</f>
        <v>HathiTrust Record</v>
      </c>
      <c r="AS1000" s="6" t="str">
        <f>HYPERLINK("https://creighton-primo.hosted.exlibrisgroup.com/primo-explore/search?tab=default_tab&amp;search_scope=EVERYTHING&amp;vid=01CRU&amp;lang=en_US&amp;offset=0&amp;query=any,contains,991003731989702656","Catalog Record")</f>
        <v>Catalog Record</v>
      </c>
      <c r="AT1000" s="6" t="str">
        <f>HYPERLINK("http://www.worldcat.org/oclc/45434668","WorldCat Record")</f>
        <v>WorldCat Record</v>
      </c>
      <c r="AU1000" s="3" t="s">
        <v>11238</v>
      </c>
      <c r="AV1000" s="3" t="s">
        <v>11239</v>
      </c>
      <c r="AW1000" s="3" t="s">
        <v>11240</v>
      </c>
      <c r="AX1000" s="3" t="s">
        <v>11240</v>
      </c>
      <c r="AY1000" s="3" t="s">
        <v>11241</v>
      </c>
      <c r="AZ1000" s="3" t="s">
        <v>75</v>
      </c>
      <c r="BB1000" s="3" t="s">
        <v>11242</v>
      </c>
      <c r="BC1000" s="3" t="s">
        <v>11243</v>
      </c>
      <c r="BD1000" s="3" t="s">
        <v>11244</v>
      </c>
    </row>
    <row r="1001" spans="1:56" ht="44.25" customHeight="1" x14ac:dyDescent="0.25">
      <c r="A1001" s="7" t="s">
        <v>61</v>
      </c>
      <c r="B1001" s="2" t="s">
        <v>11245</v>
      </c>
      <c r="C1001" s="2" t="s">
        <v>11246</v>
      </c>
      <c r="D1001" s="2" t="s">
        <v>11247</v>
      </c>
      <c r="F1001" s="3" t="s">
        <v>61</v>
      </c>
      <c r="G1001" s="3" t="s">
        <v>60</v>
      </c>
      <c r="H1001" s="3" t="s">
        <v>61</v>
      </c>
      <c r="I1001" s="3" t="s">
        <v>61</v>
      </c>
      <c r="J1001" s="3" t="s">
        <v>62</v>
      </c>
      <c r="K1001" s="2" t="s">
        <v>11248</v>
      </c>
      <c r="L1001" s="2" t="s">
        <v>11249</v>
      </c>
      <c r="M1001" s="3" t="s">
        <v>552</v>
      </c>
      <c r="O1001" s="3" t="s">
        <v>114</v>
      </c>
      <c r="P1001" s="3" t="s">
        <v>335</v>
      </c>
      <c r="R1001" s="3" t="s">
        <v>68</v>
      </c>
      <c r="S1001" s="4">
        <v>4</v>
      </c>
      <c r="T1001" s="4">
        <v>4</v>
      </c>
      <c r="U1001" s="5" t="s">
        <v>11250</v>
      </c>
      <c r="V1001" s="5" t="s">
        <v>11250</v>
      </c>
      <c r="W1001" s="5" t="s">
        <v>11251</v>
      </c>
      <c r="X1001" s="5" t="s">
        <v>11251</v>
      </c>
      <c r="Y1001" s="4">
        <v>250</v>
      </c>
      <c r="Z1001" s="4">
        <v>213</v>
      </c>
      <c r="AA1001" s="4">
        <v>235</v>
      </c>
      <c r="AB1001" s="4">
        <v>3</v>
      </c>
      <c r="AC1001" s="4">
        <v>3</v>
      </c>
      <c r="AD1001" s="4">
        <v>13</v>
      </c>
      <c r="AE1001" s="4">
        <v>13</v>
      </c>
      <c r="AF1001" s="4">
        <v>3</v>
      </c>
      <c r="AG1001" s="4">
        <v>3</v>
      </c>
      <c r="AH1001" s="4">
        <v>4</v>
      </c>
      <c r="AI1001" s="4">
        <v>4</v>
      </c>
      <c r="AJ1001" s="4">
        <v>8</v>
      </c>
      <c r="AK1001" s="4">
        <v>8</v>
      </c>
      <c r="AL1001" s="4">
        <v>2</v>
      </c>
      <c r="AM1001" s="4">
        <v>2</v>
      </c>
      <c r="AN1001" s="4">
        <v>0</v>
      </c>
      <c r="AO1001" s="4">
        <v>0</v>
      </c>
      <c r="AP1001" s="3" t="s">
        <v>61</v>
      </c>
      <c r="AQ1001" s="3" t="s">
        <v>59</v>
      </c>
      <c r="AR1001" s="6" t="str">
        <f>HYPERLINK("http://catalog.hathitrust.org/Record/001831574","HathiTrust Record")</f>
        <v>HathiTrust Record</v>
      </c>
      <c r="AS1001" s="6" t="str">
        <f>HYPERLINK("https://creighton-primo.hosted.exlibrisgroup.com/primo-explore/search?tab=default_tab&amp;search_scope=EVERYTHING&amp;vid=01CRU&amp;lang=en_US&amp;offset=0&amp;query=any,contains,991001542329702656","Catalog Record")</f>
        <v>Catalog Record</v>
      </c>
      <c r="AT1001" s="6" t="str">
        <f>HYPERLINK("http://www.worldcat.org/oclc/20132697","WorldCat Record")</f>
        <v>WorldCat Record</v>
      </c>
      <c r="AU1001" s="3" t="s">
        <v>11252</v>
      </c>
      <c r="AV1001" s="3" t="s">
        <v>11253</v>
      </c>
      <c r="AW1001" s="3" t="s">
        <v>11254</v>
      </c>
      <c r="AX1001" s="3" t="s">
        <v>11254</v>
      </c>
      <c r="AY1001" s="3" t="s">
        <v>11255</v>
      </c>
      <c r="AZ1001" s="3" t="s">
        <v>75</v>
      </c>
      <c r="BB1001" s="3" t="s">
        <v>11256</v>
      </c>
      <c r="BC1001" s="3" t="s">
        <v>11257</v>
      </c>
      <c r="BD1001" s="3" t="s">
        <v>11258</v>
      </c>
    </row>
    <row r="1002" spans="1:56" ht="44.25" customHeight="1" x14ac:dyDescent="0.25">
      <c r="A1002" s="7" t="s">
        <v>61</v>
      </c>
      <c r="B1002" s="2" t="s">
        <v>11259</v>
      </c>
      <c r="C1002" s="2" t="s">
        <v>11260</v>
      </c>
      <c r="D1002" s="2" t="s">
        <v>11261</v>
      </c>
      <c r="F1002" s="3" t="s">
        <v>61</v>
      </c>
      <c r="G1002" s="3" t="s">
        <v>60</v>
      </c>
      <c r="H1002" s="3" t="s">
        <v>61</v>
      </c>
      <c r="I1002" s="3" t="s">
        <v>61</v>
      </c>
      <c r="J1002" s="3" t="s">
        <v>62</v>
      </c>
      <c r="K1002" s="2" t="s">
        <v>11262</v>
      </c>
      <c r="L1002" s="2" t="s">
        <v>11263</v>
      </c>
      <c r="M1002" s="3" t="s">
        <v>1758</v>
      </c>
      <c r="O1002" s="3" t="s">
        <v>114</v>
      </c>
      <c r="P1002" s="3" t="s">
        <v>649</v>
      </c>
      <c r="R1002" s="3" t="s">
        <v>68</v>
      </c>
      <c r="S1002" s="4">
        <v>2</v>
      </c>
      <c r="T1002" s="4">
        <v>2</v>
      </c>
      <c r="U1002" s="5" t="s">
        <v>11264</v>
      </c>
      <c r="V1002" s="5" t="s">
        <v>11264</v>
      </c>
      <c r="W1002" s="5" t="s">
        <v>10753</v>
      </c>
      <c r="X1002" s="5" t="s">
        <v>10753</v>
      </c>
      <c r="Y1002" s="4">
        <v>464</v>
      </c>
      <c r="Z1002" s="4">
        <v>403</v>
      </c>
      <c r="AA1002" s="4">
        <v>404</v>
      </c>
      <c r="AB1002" s="4">
        <v>4</v>
      </c>
      <c r="AC1002" s="4">
        <v>4</v>
      </c>
      <c r="AD1002" s="4">
        <v>19</v>
      </c>
      <c r="AE1002" s="4">
        <v>19</v>
      </c>
      <c r="AF1002" s="4">
        <v>8</v>
      </c>
      <c r="AG1002" s="4">
        <v>8</v>
      </c>
      <c r="AH1002" s="4">
        <v>6</v>
      </c>
      <c r="AI1002" s="4">
        <v>6</v>
      </c>
      <c r="AJ1002" s="4">
        <v>10</v>
      </c>
      <c r="AK1002" s="4">
        <v>10</v>
      </c>
      <c r="AL1002" s="4">
        <v>3</v>
      </c>
      <c r="AM1002" s="4">
        <v>3</v>
      </c>
      <c r="AN1002" s="4">
        <v>0</v>
      </c>
      <c r="AO1002" s="4">
        <v>0</v>
      </c>
      <c r="AP1002" s="3" t="s">
        <v>61</v>
      </c>
      <c r="AQ1002" s="3" t="s">
        <v>61</v>
      </c>
      <c r="AS1002" s="6" t="str">
        <f>HYPERLINK("https://creighton-primo.hosted.exlibrisgroup.com/primo-explore/search?tab=default_tab&amp;search_scope=EVERYTHING&amp;vid=01CRU&amp;lang=en_US&amp;offset=0&amp;query=any,contains,991005136209702656","Catalog Record")</f>
        <v>Catalog Record</v>
      </c>
      <c r="AT1002" s="6" t="str">
        <f>HYPERLINK("http://www.worldcat.org/oclc/7577405","WorldCat Record")</f>
        <v>WorldCat Record</v>
      </c>
      <c r="AU1002" s="3" t="s">
        <v>11265</v>
      </c>
      <c r="AV1002" s="3" t="s">
        <v>11266</v>
      </c>
      <c r="AW1002" s="3" t="s">
        <v>11267</v>
      </c>
      <c r="AX1002" s="3" t="s">
        <v>11267</v>
      </c>
      <c r="AY1002" s="3" t="s">
        <v>11268</v>
      </c>
      <c r="AZ1002" s="3" t="s">
        <v>75</v>
      </c>
      <c r="BB1002" s="3" t="s">
        <v>11269</v>
      </c>
      <c r="BC1002" s="3" t="s">
        <v>11270</v>
      </c>
      <c r="BD1002" s="3" t="s">
        <v>11271</v>
      </c>
    </row>
    <row r="1003" spans="1:56" ht="44.25" customHeight="1" x14ac:dyDescent="0.25">
      <c r="A1003" s="7" t="s">
        <v>61</v>
      </c>
      <c r="B1003" s="2" t="s">
        <v>11272</v>
      </c>
      <c r="C1003" s="2" t="s">
        <v>11273</v>
      </c>
      <c r="D1003" s="2" t="s">
        <v>11274</v>
      </c>
      <c r="F1003" s="3" t="s">
        <v>61</v>
      </c>
      <c r="G1003" s="3" t="s">
        <v>60</v>
      </c>
      <c r="H1003" s="3" t="s">
        <v>61</v>
      </c>
      <c r="I1003" s="3" t="s">
        <v>61</v>
      </c>
      <c r="J1003" s="3" t="s">
        <v>62</v>
      </c>
      <c r="K1003" s="2" t="s">
        <v>11275</v>
      </c>
      <c r="L1003" s="2" t="s">
        <v>11276</v>
      </c>
      <c r="M1003" s="3" t="s">
        <v>249</v>
      </c>
      <c r="O1003" s="3" t="s">
        <v>114</v>
      </c>
      <c r="P1003" s="3" t="s">
        <v>11277</v>
      </c>
      <c r="R1003" s="3" t="s">
        <v>68</v>
      </c>
      <c r="S1003" s="4">
        <v>13</v>
      </c>
      <c r="T1003" s="4">
        <v>13</v>
      </c>
      <c r="U1003" s="5" t="s">
        <v>11278</v>
      </c>
      <c r="V1003" s="5" t="s">
        <v>11278</v>
      </c>
      <c r="W1003" s="5" t="s">
        <v>10700</v>
      </c>
      <c r="X1003" s="5" t="s">
        <v>10700</v>
      </c>
      <c r="Y1003" s="4">
        <v>912</v>
      </c>
      <c r="Z1003" s="4">
        <v>811</v>
      </c>
      <c r="AA1003" s="4">
        <v>996</v>
      </c>
      <c r="AB1003" s="4">
        <v>18</v>
      </c>
      <c r="AC1003" s="4">
        <v>20</v>
      </c>
      <c r="AD1003" s="4">
        <v>22</v>
      </c>
      <c r="AE1003" s="4">
        <v>24</v>
      </c>
      <c r="AF1003" s="4">
        <v>5</v>
      </c>
      <c r="AG1003" s="4">
        <v>6</v>
      </c>
      <c r="AH1003" s="4">
        <v>4</v>
      </c>
      <c r="AI1003" s="4">
        <v>5</v>
      </c>
      <c r="AJ1003" s="4">
        <v>10</v>
      </c>
      <c r="AK1003" s="4">
        <v>10</v>
      </c>
      <c r="AL1003" s="4">
        <v>7</v>
      </c>
      <c r="AM1003" s="4">
        <v>7</v>
      </c>
      <c r="AN1003" s="4">
        <v>0</v>
      </c>
      <c r="AO1003" s="4">
        <v>0</v>
      </c>
      <c r="AP1003" s="3" t="s">
        <v>61</v>
      </c>
      <c r="AQ1003" s="3" t="s">
        <v>59</v>
      </c>
      <c r="AR1003" s="6" t="str">
        <f>HYPERLINK("http://catalog.hathitrust.org/Record/002702648","HathiTrust Record")</f>
        <v>HathiTrust Record</v>
      </c>
      <c r="AS1003" s="6" t="str">
        <f>HYPERLINK("https://creighton-primo.hosted.exlibrisgroup.com/primo-explore/search?tab=default_tab&amp;search_scope=EVERYTHING&amp;vid=01CRU&amp;lang=en_US&amp;offset=0&amp;query=any,contains,991002065869702656","Catalog Record")</f>
        <v>Catalog Record</v>
      </c>
      <c r="AT1003" s="6" t="str">
        <f>HYPERLINK("http://www.worldcat.org/oclc/26403498","WorldCat Record")</f>
        <v>WorldCat Record</v>
      </c>
      <c r="AU1003" s="3" t="s">
        <v>11279</v>
      </c>
      <c r="AV1003" s="3" t="s">
        <v>11280</v>
      </c>
      <c r="AW1003" s="3" t="s">
        <v>11281</v>
      </c>
      <c r="AX1003" s="3" t="s">
        <v>11281</v>
      </c>
      <c r="AY1003" s="3" t="s">
        <v>11282</v>
      </c>
      <c r="AZ1003" s="3" t="s">
        <v>75</v>
      </c>
      <c r="BB1003" s="3" t="s">
        <v>11283</v>
      </c>
      <c r="BC1003" s="3" t="s">
        <v>11284</v>
      </c>
      <c r="BD1003" s="3" t="s">
        <v>11285</v>
      </c>
    </row>
    <row r="1004" spans="1:56" ht="44.25" customHeight="1" x14ac:dyDescent="0.25">
      <c r="A1004" s="7" t="s">
        <v>61</v>
      </c>
      <c r="B1004" s="2" t="s">
        <v>11286</v>
      </c>
      <c r="C1004" s="2" t="s">
        <v>11287</v>
      </c>
      <c r="D1004" s="2" t="s">
        <v>11288</v>
      </c>
      <c r="F1004" s="3" t="s">
        <v>61</v>
      </c>
      <c r="G1004" s="3" t="s">
        <v>60</v>
      </c>
      <c r="H1004" s="3" t="s">
        <v>61</v>
      </c>
      <c r="I1004" s="3" t="s">
        <v>61</v>
      </c>
      <c r="J1004" s="3" t="s">
        <v>62</v>
      </c>
      <c r="K1004" s="2" t="s">
        <v>11289</v>
      </c>
      <c r="L1004" s="2" t="s">
        <v>11290</v>
      </c>
      <c r="M1004" s="3" t="s">
        <v>379</v>
      </c>
      <c r="O1004" s="3" t="s">
        <v>114</v>
      </c>
      <c r="P1004" s="3" t="s">
        <v>364</v>
      </c>
      <c r="R1004" s="3" t="s">
        <v>68</v>
      </c>
      <c r="S1004" s="4">
        <v>2</v>
      </c>
      <c r="T1004" s="4">
        <v>2</v>
      </c>
      <c r="U1004" s="5" t="s">
        <v>11291</v>
      </c>
      <c r="V1004" s="5" t="s">
        <v>11291</v>
      </c>
      <c r="W1004" s="5" t="s">
        <v>9911</v>
      </c>
      <c r="X1004" s="5" t="s">
        <v>9911</v>
      </c>
      <c r="Y1004" s="4">
        <v>975</v>
      </c>
      <c r="Z1004" s="4">
        <v>842</v>
      </c>
      <c r="AA1004" s="4">
        <v>911</v>
      </c>
      <c r="AB1004" s="4">
        <v>7</v>
      </c>
      <c r="AC1004" s="4">
        <v>9</v>
      </c>
      <c r="AD1004" s="4">
        <v>44</v>
      </c>
      <c r="AE1004" s="4">
        <v>49</v>
      </c>
      <c r="AF1004" s="4">
        <v>18</v>
      </c>
      <c r="AG1004" s="4">
        <v>19</v>
      </c>
      <c r="AH1004" s="4">
        <v>11</v>
      </c>
      <c r="AI1004" s="4">
        <v>11</v>
      </c>
      <c r="AJ1004" s="4">
        <v>18</v>
      </c>
      <c r="AK1004" s="4">
        <v>19</v>
      </c>
      <c r="AL1004" s="4">
        <v>6</v>
      </c>
      <c r="AM1004" s="4">
        <v>6</v>
      </c>
      <c r="AN1004" s="4">
        <v>1</v>
      </c>
      <c r="AO1004" s="4">
        <v>5</v>
      </c>
      <c r="AP1004" s="3" t="s">
        <v>61</v>
      </c>
      <c r="AQ1004" s="3" t="s">
        <v>59</v>
      </c>
      <c r="AR1004" s="6" t="str">
        <f>HYPERLINK("http://catalog.hathitrust.org/Record/004088544","HathiTrust Record")</f>
        <v>HathiTrust Record</v>
      </c>
      <c r="AS1004" s="6" t="str">
        <f>HYPERLINK("https://creighton-primo.hosted.exlibrisgroup.com/primo-explore/search?tab=default_tab&amp;search_scope=EVERYTHING&amp;vid=01CRU&amp;lang=en_US&amp;offset=0&amp;query=any,contains,991003350609702656","Catalog Record")</f>
        <v>Catalog Record</v>
      </c>
      <c r="AT1004" s="6" t="str">
        <f>HYPERLINK("http://www.worldcat.org/oclc/42428794","WorldCat Record")</f>
        <v>WorldCat Record</v>
      </c>
      <c r="AU1004" s="3" t="s">
        <v>11292</v>
      </c>
      <c r="AV1004" s="3" t="s">
        <v>11293</v>
      </c>
      <c r="AW1004" s="3" t="s">
        <v>11294</v>
      </c>
      <c r="AX1004" s="3" t="s">
        <v>11294</v>
      </c>
      <c r="AY1004" s="3" t="s">
        <v>11295</v>
      </c>
      <c r="AZ1004" s="3" t="s">
        <v>75</v>
      </c>
      <c r="BB1004" s="3" t="s">
        <v>11296</v>
      </c>
      <c r="BC1004" s="3" t="s">
        <v>11297</v>
      </c>
      <c r="BD1004" s="3" t="s">
        <v>11298</v>
      </c>
    </row>
    <row r="1005" spans="1:56" ht="44.25" customHeight="1" x14ac:dyDescent="0.25">
      <c r="A1005" s="7" t="s">
        <v>61</v>
      </c>
      <c r="B1005" s="2" t="s">
        <v>11299</v>
      </c>
      <c r="C1005" s="2" t="s">
        <v>11300</v>
      </c>
      <c r="D1005" s="2" t="s">
        <v>11301</v>
      </c>
      <c r="F1005" s="3" t="s">
        <v>61</v>
      </c>
      <c r="G1005" s="3" t="s">
        <v>60</v>
      </c>
      <c r="H1005" s="3" t="s">
        <v>61</v>
      </c>
      <c r="I1005" s="3" t="s">
        <v>61</v>
      </c>
      <c r="J1005" s="3" t="s">
        <v>62</v>
      </c>
      <c r="K1005" s="2" t="s">
        <v>11302</v>
      </c>
      <c r="L1005" s="2" t="s">
        <v>11303</v>
      </c>
      <c r="M1005" s="3" t="s">
        <v>263</v>
      </c>
      <c r="N1005" s="2" t="s">
        <v>679</v>
      </c>
      <c r="O1005" s="3" t="s">
        <v>114</v>
      </c>
      <c r="P1005" s="3" t="s">
        <v>235</v>
      </c>
      <c r="R1005" s="3" t="s">
        <v>68</v>
      </c>
      <c r="S1005" s="4">
        <v>2</v>
      </c>
      <c r="T1005" s="4">
        <v>2</v>
      </c>
      <c r="U1005" s="5" t="s">
        <v>11304</v>
      </c>
      <c r="V1005" s="5" t="s">
        <v>11304</v>
      </c>
      <c r="W1005" s="5" t="s">
        <v>11040</v>
      </c>
      <c r="X1005" s="5" t="s">
        <v>11040</v>
      </c>
      <c r="Y1005" s="4">
        <v>451</v>
      </c>
      <c r="Z1005" s="4">
        <v>440</v>
      </c>
      <c r="AA1005" s="4">
        <v>583</v>
      </c>
      <c r="AB1005" s="4">
        <v>2</v>
      </c>
      <c r="AC1005" s="4">
        <v>5</v>
      </c>
      <c r="AD1005" s="4">
        <v>9</v>
      </c>
      <c r="AE1005" s="4">
        <v>14</v>
      </c>
      <c r="AF1005" s="4">
        <v>5</v>
      </c>
      <c r="AG1005" s="4">
        <v>5</v>
      </c>
      <c r="AH1005" s="4">
        <v>0</v>
      </c>
      <c r="AI1005" s="4">
        <v>2</v>
      </c>
      <c r="AJ1005" s="4">
        <v>6</v>
      </c>
      <c r="AK1005" s="4">
        <v>9</v>
      </c>
      <c r="AL1005" s="4">
        <v>1</v>
      </c>
      <c r="AM1005" s="4">
        <v>2</v>
      </c>
      <c r="AN1005" s="4">
        <v>0</v>
      </c>
      <c r="AO1005" s="4">
        <v>0</v>
      </c>
      <c r="AP1005" s="3" t="s">
        <v>61</v>
      </c>
      <c r="AQ1005" s="3" t="s">
        <v>61</v>
      </c>
      <c r="AS1005" s="6" t="str">
        <f>HYPERLINK("https://creighton-primo.hosted.exlibrisgroup.com/primo-explore/search?tab=default_tab&amp;search_scope=EVERYTHING&amp;vid=01CRU&amp;lang=en_US&amp;offset=0&amp;query=any,contains,991005171439702656","Catalog Record")</f>
        <v>Catalog Record</v>
      </c>
      <c r="AT1005" s="6" t="str">
        <f>HYPERLINK("http://www.worldcat.org/oclc/7875382","WorldCat Record")</f>
        <v>WorldCat Record</v>
      </c>
      <c r="AU1005" s="3" t="s">
        <v>11305</v>
      </c>
      <c r="AV1005" s="3" t="s">
        <v>11306</v>
      </c>
      <c r="AW1005" s="3" t="s">
        <v>11307</v>
      </c>
      <c r="AX1005" s="3" t="s">
        <v>11307</v>
      </c>
      <c r="AY1005" s="3" t="s">
        <v>11308</v>
      </c>
      <c r="AZ1005" s="3" t="s">
        <v>75</v>
      </c>
      <c r="BB1005" s="3" t="s">
        <v>11309</v>
      </c>
      <c r="BC1005" s="3" t="s">
        <v>11310</v>
      </c>
      <c r="BD1005" s="3" t="s">
        <v>11311</v>
      </c>
    </row>
    <row r="1006" spans="1:56" ht="44.25" customHeight="1" x14ac:dyDescent="0.25">
      <c r="A1006" s="7" t="s">
        <v>61</v>
      </c>
      <c r="B1006" s="2" t="s">
        <v>11312</v>
      </c>
      <c r="C1006" s="2" t="s">
        <v>11313</v>
      </c>
      <c r="D1006" s="2" t="s">
        <v>11314</v>
      </c>
      <c r="F1006" s="3" t="s">
        <v>61</v>
      </c>
      <c r="G1006" s="3" t="s">
        <v>60</v>
      </c>
      <c r="H1006" s="3" t="s">
        <v>61</v>
      </c>
      <c r="I1006" s="3" t="s">
        <v>61</v>
      </c>
      <c r="J1006" s="3" t="s">
        <v>62</v>
      </c>
      <c r="K1006" s="2" t="s">
        <v>11315</v>
      </c>
      <c r="L1006" s="2" t="s">
        <v>11316</v>
      </c>
      <c r="M1006" s="3" t="s">
        <v>1074</v>
      </c>
      <c r="O1006" s="3" t="s">
        <v>114</v>
      </c>
      <c r="P1006" s="3" t="s">
        <v>192</v>
      </c>
      <c r="Q1006" s="2" t="s">
        <v>11317</v>
      </c>
      <c r="R1006" s="3" t="s">
        <v>68</v>
      </c>
      <c r="S1006" s="4">
        <v>5</v>
      </c>
      <c r="T1006" s="4">
        <v>5</v>
      </c>
      <c r="U1006" s="5" t="s">
        <v>9717</v>
      </c>
      <c r="V1006" s="5" t="s">
        <v>9717</v>
      </c>
      <c r="W1006" s="5" t="s">
        <v>11040</v>
      </c>
      <c r="X1006" s="5" t="s">
        <v>11040</v>
      </c>
      <c r="Y1006" s="4">
        <v>456</v>
      </c>
      <c r="Z1006" s="4">
        <v>250</v>
      </c>
      <c r="AA1006" s="4">
        <v>256</v>
      </c>
      <c r="AB1006" s="4">
        <v>2</v>
      </c>
      <c r="AC1006" s="4">
        <v>2</v>
      </c>
      <c r="AD1006" s="4">
        <v>12</v>
      </c>
      <c r="AE1006" s="4">
        <v>12</v>
      </c>
      <c r="AF1006" s="4">
        <v>4</v>
      </c>
      <c r="AG1006" s="4">
        <v>4</v>
      </c>
      <c r="AH1006" s="4">
        <v>2</v>
      </c>
      <c r="AI1006" s="4">
        <v>2</v>
      </c>
      <c r="AJ1006" s="4">
        <v>10</v>
      </c>
      <c r="AK1006" s="4">
        <v>10</v>
      </c>
      <c r="AL1006" s="4">
        <v>1</v>
      </c>
      <c r="AM1006" s="4">
        <v>1</v>
      </c>
      <c r="AN1006" s="4">
        <v>0</v>
      </c>
      <c r="AO1006" s="4">
        <v>0</v>
      </c>
      <c r="AP1006" s="3" t="s">
        <v>61</v>
      </c>
      <c r="AQ1006" s="3" t="s">
        <v>61</v>
      </c>
      <c r="AS1006" s="6" t="str">
        <f>HYPERLINK("https://creighton-primo.hosted.exlibrisgroup.com/primo-explore/search?tab=default_tab&amp;search_scope=EVERYTHING&amp;vid=01CRU&amp;lang=en_US&amp;offset=0&amp;query=any,contains,991000549239702656","Catalog Record")</f>
        <v>Catalog Record</v>
      </c>
      <c r="AT1006" s="6" t="str">
        <f>HYPERLINK("http://www.worldcat.org/oclc/11531823","WorldCat Record")</f>
        <v>WorldCat Record</v>
      </c>
      <c r="AU1006" s="3" t="s">
        <v>11318</v>
      </c>
      <c r="AV1006" s="3" t="s">
        <v>11319</v>
      </c>
      <c r="AW1006" s="3" t="s">
        <v>11320</v>
      </c>
      <c r="AX1006" s="3" t="s">
        <v>11320</v>
      </c>
      <c r="AY1006" s="3" t="s">
        <v>11321</v>
      </c>
      <c r="AZ1006" s="3" t="s">
        <v>75</v>
      </c>
      <c r="BB1006" s="3" t="s">
        <v>11322</v>
      </c>
      <c r="BC1006" s="3" t="s">
        <v>11323</v>
      </c>
      <c r="BD1006" s="3" t="s">
        <v>11324</v>
      </c>
    </row>
    <row r="1007" spans="1:56" ht="44.25" customHeight="1" x14ac:dyDescent="0.25">
      <c r="A1007" s="7" t="s">
        <v>61</v>
      </c>
      <c r="B1007" s="2" t="s">
        <v>11325</v>
      </c>
      <c r="C1007" s="2" t="s">
        <v>11326</v>
      </c>
      <c r="D1007" s="2" t="s">
        <v>11327</v>
      </c>
      <c r="F1007" s="3" t="s">
        <v>61</v>
      </c>
      <c r="G1007" s="3" t="s">
        <v>60</v>
      </c>
      <c r="H1007" s="3" t="s">
        <v>61</v>
      </c>
      <c r="I1007" s="3" t="s">
        <v>61</v>
      </c>
      <c r="J1007" s="3" t="s">
        <v>62</v>
      </c>
      <c r="K1007" s="2" t="s">
        <v>6570</v>
      </c>
      <c r="L1007" s="2" t="s">
        <v>11328</v>
      </c>
      <c r="M1007" s="3" t="s">
        <v>379</v>
      </c>
      <c r="N1007" s="2" t="s">
        <v>634</v>
      </c>
      <c r="O1007" s="3" t="s">
        <v>114</v>
      </c>
      <c r="P1007" s="3" t="s">
        <v>235</v>
      </c>
      <c r="R1007" s="3" t="s">
        <v>68</v>
      </c>
      <c r="S1007" s="4">
        <v>4</v>
      </c>
      <c r="T1007" s="4">
        <v>4</v>
      </c>
      <c r="U1007" s="5" t="s">
        <v>11329</v>
      </c>
      <c r="V1007" s="5" t="s">
        <v>11329</v>
      </c>
      <c r="W1007" s="5" t="s">
        <v>11329</v>
      </c>
      <c r="X1007" s="5" t="s">
        <v>11329</v>
      </c>
      <c r="Y1007" s="4">
        <v>952</v>
      </c>
      <c r="Z1007" s="4">
        <v>862</v>
      </c>
      <c r="AA1007" s="4">
        <v>971</v>
      </c>
      <c r="AB1007" s="4">
        <v>5</v>
      </c>
      <c r="AC1007" s="4">
        <v>5</v>
      </c>
      <c r="AD1007" s="4">
        <v>32</v>
      </c>
      <c r="AE1007" s="4">
        <v>35</v>
      </c>
      <c r="AF1007" s="4">
        <v>19</v>
      </c>
      <c r="AG1007" s="4">
        <v>20</v>
      </c>
      <c r="AH1007" s="4">
        <v>7</v>
      </c>
      <c r="AI1007" s="4">
        <v>9</v>
      </c>
      <c r="AJ1007" s="4">
        <v>14</v>
      </c>
      <c r="AK1007" s="4">
        <v>16</v>
      </c>
      <c r="AL1007" s="4">
        <v>3</v>
      </c>
      <c r="AM1007" s="4">
        <v>3</v>
      </c>
      <c r="AN1007" s="4">
        <v>0</v>
      </c>
      <c r="AO1007" s="4">
        <v>0</v>
      </c>
      <c r="AP1007" s="3" t="s">
        <v>61</v>
      </c>
      <c r="AQ1007" s="3" t="s">
        <v>61</v>
      </c>
      <c r="AS1007" s="6" t="str">
        <f>HYPERLINK("https://creighton-primo.hosted.exlibrisgroup.com/primo-explore/search?tab=default_tab&amp;search_scope=EVERYTHING&amp;vid=01CRU&amp;lang=en_US&amp;offset=0&amp;query=any,contains,991003315069702656","Catalog Record")</f>
        <v>Catalog Record</v>
      </c>
      <c r="AT1007" s="6" t="str">
        <f>HYPERLINK("http://www.worldcat.org/oclc/42716792","WorldCat Record")</f>
        <v>WorldCat Record</v>
      </c>
      <c r="AU1007" s="3" t="s">
        <v>11330</v>
      </c>
      <c r="AV1007" s="3" t="s">
        <v>11331</v>
      </c>
      <c r="AW1007" s="3" t="s">
        <v>11332</v>
      </c>
      <c r="AX1007" s="3" t="s">
        <v>11332</v>
      </c>
      <c r="AY1007" s="3" t="s">
        <v>11333</v>
      </c>
      <c r="AZ1007" s="3" t="s">
        <v>75</v>
      </c>
      <c r="BB1007" s="3" t="s">
        <v>11334</v>
      </c>
      <c r="BC1007" s="3" t="s">
        <v>11335</v>
      </c>
      <c r="BD1007" s="3" t="s">
        <v>11336</v>
      </c>
    </row>
    <row r="1008" spans="1:56" ht="44.25" customHeight="1" x14ac:dyDescent="0.25">
      <c r="A1008" s="7" t="s">
        <v>61</v>
      </c>
      <c r="B1008" s="2" t="s">
        <v>11337</v>
      </c>
      <c r="C1008" s="2" t="s">
        <v>11338</v>
      </c>
      <c r="D1008" s="2" t="s">
        <v>11339</v>
      </c>
      <c r="F1008" s="3" t="s">
        <v>61</v>
      </c>
      <c r="G1008" s="3" t="s">
        <v>60</v>
      </c>
      <c r="H1008" s="3" t="s">
        <v>61</v>
      </c>
      <c r="I1008" s="3" t="s">
        <v>61</v>
      </c>
      <c r="J1008" s="3" t="s">
        <v>62</v>
      </c>
      <c r="K1008" s="2" t="s">
        <v>11340</v>
      </c>
      <c r="L1008" s="2" t="s">
        <v>11341</v>
      </c>
      <c r="M1008" s="3" t="s">
        <v>579</v>
      </c>
      <c r="O1008" s="3" t="s">
        <v>114</v>
      </c>
      <c r="P1008" s="3" t="s">
        <v>235</v>
      </c>
      <c r="R1008" s="3" t="s">
        <v>68</v>
      </c>
      <c r="S1008" s="4">
        <v>2</v>
      </c>
      <c r="T1008" s="4">
        <v>2</v>
      </c>
      <c r="U1008" s="5" t="s">
        <v>130</v>
      </c>
      <c r="V1008" s="5" t="s">
        <v>130</v>
      </c>
      <c r="W1008" s="5" t="s">
        <v>10753</v>
      </c>
      <c r="X1008" s="5" t="s">
        <v>10753</v>
      </c>
      <c r="Y1008" s="4">
        <v>637</v>
      </c>
      <c r="Z1008" s="4">
        <v>565</v>
      </c>
      <c r="AA1008" s="4">
        <v>579</v>
      </c>
      <c r="AB1008" s="4">
        <v>4</v>
      </c>
      <c r="AC1008" s="4">
        <v>4</v>
      </c>
      <c r="AD1008" s="4">
        <v>25</v>
      </c>
      <c r="AE1008" s="4">
        <v>25</v>
      </c>
      <c r="AF1008" s="4">
        <v>10</v>
      </c>
      <c r="AG1008" s="4">
        <v>10</v>
      </c>
      <c r="AH1008" s="4">
        <v>4</v>
      </c>
      <c r="AI1008" s="4">
        <v>4</v>
      </c>
      <c r="AJ1008" s="4">
        <v>17</v>
      </c>
      <c r="AK1008" s="4">
        <v>17</v>
      </c>
      <c r="AL1008" s="4">
        <v>3</v>
      </c>
      <c r="AM1008" s="4">
        <v>3</v>
      </c>
      <c r="AN1008" s="4">
        <v>0</v>
      </c>
      <c r="AO1008" s="4">
        <v>0</v>
      </c>
      <c r="AP1008" s="3" t="s">
        <v>61</v>
      </c>
      <c r="AQ1008" s="3" t="s">
        <v>59</v>
      </c>
      <c r="AR1008" s="6" t="str">
        <f>HYPERLINK("http://catalog.hathitrust.org/Record/000418861","HathiTrust Record")</f>
        <v>HathiTrust Record</v>
      </c>
      <c r="AS1008" s="6" t="str">
        <f>HYPERLINK("https://creighton-primo.hosted.exlibrisgroup.com/primo-explore/search?tab=default_tab&amp;search_scope=EVERYTHING&amp;vid=01CRU&amp;lang=en_US&amp;offset=0&amp;query=any,contains,991000668509702656","Catalog Record")</f>
        <v>Catalog Record</v>
      </c>
      <c r="AT1008" s="6" t="str">
        <f>HYPERLINK("http://www.worldcat.org/oclc/12311880","WorldCat Record")</f>
        <v>WorldCat Record</v>
      </c>
      <c r="AU1008" s="3" t="s">
        <v>11342</v>
      </c>
      <c r="AV1008" s="3" t="s">
        <v>11343</v>
      </c>
      <c r="AW1008" s="3" t="s">
        <v>11344</v>
      </c>
      <c r="AX1008" s="3" t="s">
        <v>11344</v>
      </c>
      <c r="AY1008" s="3" t="s">
        <v>11345</v>
      </c>
      <c r="AZ1008" s="3" t="s">
        <v>75</v>
      </c>
      <c r="BB1008" s="3" t="s">
        <v>11346</v>
      </c>
      <c r="BC1008" s="3" t="s">
        <v>11347</v>
      </c>
      <c r="BD1008" s="3" t="s">
        <v>11348</v>
      </c>
    </row>
    <row r="1009" spans="1:56" ht="44.25" customHeight="1" x14ac:dyDescent="0.25">
      <c r="A1009" s="7" t="s">
        <v>61</v>
      </c>
      <c r="B1009" s="2" t="s">
        <v>11349</v>
      </c>
      <c r="C1009" s="2" t="s">
        <v>11350</v>
      </c>
      <c r="D1009" s="2" t="s">
        <v>11351</v>
      </c>
      <c r="F1009" s="3" t="s">
        <v>61</v>
      </c>
      <c r="G1009" s="3" t="s">
        <v>60</v>
      </c>
      <c r="H1009" s="3" t="s">
        <v>61</v>
      </c>
      <c r="I1009" s="3" t="s">
        <v>61</v>
      </c>
      <c r="J1009" s="3" t="s">
        <v>62</v>
      </c>
      <c r="L1009" s="2" t="s">
        <v>11352</v>
      </c>
      <c r="M1009" s="3" t="s">
        <v>1074</v>
      </c>
      <c r="O1009" s="3" t="s">
        <v>114</v>
      </c>
      <c r="P1009" s="3" t="s">
        <v>1114</v>
      </c>
      <c r="R1009" s="3" t="s">
        <v>68</v>
      </c>
      <c r="S1009" s="4">
        <v>2</v>
      </c>
      <c r="T1009" s="4">
        <v>2</v>
      </c>
      <c r="U1009" s="5" t="s">
        <v>11353</v>
      </c>
      <c r="V1009" s="5" t="s">
        <v>11353</v>
      </c>
      <c r="W1009" s="5" t="s">
        <v>11354</v>
      </c>
      <c r="X1009" s="5" t="s">
        <v>11354</v>
      </c>
      <c r="Y1009" s="4">
        <v>371</v>
      </c>
      <c r="Z1009" s="4">
        <v>336</v>
      </c>
      <c r="AA1009" s="4">
        <v>414</v>
      </c>
      <c r="AB1009" s="4">
        <v>2</v>
      </c>
      <c r="AC1009" s="4">
        <v>4</v>
      </c>
      <c r="AD1009" s="4">
        <v>21</v>
      </c>
      <c r="AE1009" s="4">
        <v>27</v>
      </c>
      <c r="AF1009" s="4">
        <v>11</v>
      </c>
      <c r="AG1009" s="4">
        <v>12</v>
      </c>
      <c r="AH1009" s="4">
        <v>5</v>
      </c>
      <c r="AI1009" s="4">
        <v>6</v>
      </c>
      <c r="AJ1009" s="4">
        <v>10</v>
      </c>
      <c r="AK1009" s="4">
        <v>13</v>
      </c>
      <c r="AL1009" s="4">
        <v>1</v>
      </c>
      <c r="AM1009" s="4">
        <v>3</v>
      </c>
      <c r="AN1009" s="4">
        <v>0</v>
      </c>
      <c r="AO1009" s="4">
        <v>0</v>
      </c>
      <c r="AP1009" s="3" t="s">
        <v>61</v>
      </c>
      <c r="AQ1009" s="3" t="s">
        <v>59</v>
      </c>
      <c r="AR1009" s="6" t="str">
        <f>HYPERLINK("http://catalog.hathitrust.org/Record/000587896","HathiTrust Record")</f>
        <v>HathiTrust Record</v>
      </c>
      <c r="AS1009" s="6" t="str">
        <f>HYPERLINK("https://creighton-primo.hosted.exlibrisgroup.com/primo-explore/search?tab=default_tab&amp;search_scope=EVERYTHING&amp;vid=01CRU&amp;lang=en_US&amp;offset=0&amp;query=any,contains,991000601139702656","Catalog Record")</f>
        <v>Catalog Record</v>
      </c>
      <c r="AT1009" s="6" t="str">
        <f>HYPERLINK("http://www.worldcat.org/oclc/11841383","WorldCat Record")</f>
        <v>WorldCat Record</v>
      </c>
      <c r="AU1009" s="3" t="s">
        <v>11355</v>
      </c>
      <c r="AV1009" s="3" t="s">
        <v>11356</v>
      </c>
      <c r="AW1009" s="3" t="s">
        <v>11357</v>
      </c>
      <c r="AX1009" s="3" t="s">
        <v>11357</v>
      </c>
      <c r="AY1009" s="3" t="s">
        <v>11358</v>
      </c>
      <c r="AZ1009" s="3" t="s">
        <v>75</v>
      </c>
      <c r="BB1009" s="3" t="s">
        <v>11359</v>
      </c>
      <c r="BC1009" s="3" t="s">
        <v>11360</v>
      </c>
      <c r="BD1009" s="3" t="s">
        <v>11361</v>
      </c>
    </row>
    <row r="1010" spans="1:56" ht="44.25" customHeight="1" x14ac:dyDescent="0.25">
      <c r="A1010" s="7" t="s">
        <v>61</v>
      </c>
      <c r="B1010" s="2" t="s">
        <v>11362</v>
      </c>
      <c r="C1010" s="2" t="s">
        <v>11363</v>
      </c>
      <c r="D1010" s="2" t="s">
        <v>11364</v>
      </c>
      <c r="F1010" s="3" t="s">
        <v>61</v>
      </c>
      <c r="G1010" s="3" t="s">
        <v>60</v>
      </c>
      <c r="H1010" s="3" t="s">
        <v>61</v>
      </c>
      <c r="I1010" s="3" t="s">
        <v>61</v>
      </c>
      <c r="J1010" s="3" t="s">
        <v>62</v>
      </c>
      <c r="K1010" s="2" t="s">
        <v>11365</v>
      </c>
      <c r="L1010" s="2" t="s">
        <v>11366</v>
      </c>
      <c r="M1010" s="3" t="s">
        <v>1758</v>
      </c>
      <c r="N1010" s="2" t="s">
        <v>634</v>
      </c>
      <c r="O1010" s="3" t="s">
        <v>114</v>
      </c>
      <c r="P1010" s="3" t="s">
        <v>235</v>
      </c>
      <c r="R1010" s="3" t="s">
        <v>68</v>
      </c>
      <c r="S1010" s="4">
        <v>4</v>
      </c>
      <c r="T1010" s="4">
        <v>4</v>
      </c>
      <c r="U1010" s="5" t="s">
        <v>9318</v>
      </c>
      <c r="V1010" s="5" t="s">
        <v>9318</v>
      </c>
      <c r="W1010" s="5" t="s">
        <v>11040</v>
      </c>
      <c r="X1010" s="5" t="s">
        <v>11040</v>
      </c>
      <c r="Y1010" s="4">
        <v>961</v>
      </c>
      <c r="Z1010" s="4">
        <v>883</v>
      </c>
      <c r="AA1010" s="4">
        <v>913</v>
      </c>
      <c r="AB1010" s="4">
        <v>5</v>
      </c>
      <c r="AC1010" s="4">
        <v>5</v>
      </c>
      <c r="AD1010" s="4">
        <v>32</v>
      </c>
      <c r="AE1010" s="4">
        <v>33</v>
      </c>
      <c r="AF1010" s="4">
        <v>14</v>
      </c>
      <c r="AG1010" s="4">
        <v>15</v>
      </c>
      <c r="AH1010" s="4">
        <v>8</v>
      </c>
      <c r="AI1010" s="4">
        <v>8</v>
      </c>
      <c r="AJ1010" s="4">
        <v>16</v>
      </c>
      <c r="AK1010" s="4">
        <v>16</v>
      </c>
      <c r="AL1010" s="4">
        <v>3</v>
      </c>
      <c r="AM1010" s="4">
        <v>3</v>
      </c>
      <c r="AN1010" s="4">
        <v>0</v>
      </c>
      <c r="AO1010" s="4">
        <v>0</v>
      </c>
      <c r="AP1010" s="3" t="s">
        <v>61</v>
      </c>
      <c r="AQ1010" s="3" t="s">
        <v>61</v>
      </c>
      <c r="AS1010" s="6" t="str">
        <f>HYPERLINK("https://creighton-primo.hosted.exlibrisgroup.com/primo-explore/search?tab=default_tab&amp;search_scope=EVERYTHING&amp;vid=01CRU&amp;lang=en_US&amp;offset=0&amp;query=any,contains,991005023429702656","Catalog Record")</f>
        <v>Catalog Record</v>
      </c>
      <c r="AT1010" s="6" t="str">
        <f>HYPERLINK("http://www.worldcat.org/oclc/6666743","WorldCat Record")</f>
        <v>WorldCat Record</v>
      </c>
      <c r="AU1010" s="3" t="s">
        <v>11367</v>
      </c>
      <c r="AV1010" s="3" t="s">
        <v>11368</v>
      </c>
      <c r="AW1010" s="3" t="s">
        <v>11369</v>
      </c>
      <c r="AX1010" s="3" t="s">
        <v>11369</v>
      </c>
      <c r="AY1010" s="3" t="s">
        <v>11370</v>
      </c>
      <c r="AZ1010" s="3" t="s">
        <v>75</v>
      </c>
      <c r="BB1010" s="3" t="s">
        <v>11371</v>
      </c>
      <c r="BC1010" s="3" t="s">
        <v>11372</v>
      </c>
      <c r="BD1010" s="3" t="s">
        <v>11373</v>
      </c>
    </row>
    <row r="1011" spans="1:56" ht="44.25" customHeight="1" x14ac:dyDescent="0.25">
      <c r="A1011" s="7" t="s">
        <v>61</v>
      </c>
      <c r="B1011" s="2" t="s">
        <v>11374</v>
      </c>
      <c r="C1011" s="2" t="s">
        <v>11375</v>
      </c>
      <c r="D1011" s="2" t="s">
        <v>11376</v>
      </c>
      <c r="F1011" s="3" t="s">
        <v>61</v>
      </c>
      <c r="G1011" s="3" t="s">
        <v>60</v>
      </c>
      <c r="H1011" s="3" t="s">
        <v>61</v>
      </c>
      <c r="I1011" s="3" t="s">
        <v>61</v>
      </c>
      <c r="J1011" s="3" t="s">
        <v>62</v>
      </c>
      <c r="K1011" s="2" t="s">
        <v>11377</v>
      </c>
      <c r="L1011" s="2" t="s">
        <v>11378</v>
      </c>
      <c r="M1011" s="3" t="s">
        <v>350</v>
      </c>
      <c r="O1011" s="3" t="s">
        <v>114</v>
      </c>
      <c r="P1011" s="3" t="s">
        <v>11379</v>
      </c>
      <c r="R1011" s="3" t="s">
        <v>68</v>
      </c>
      <c r="S1011" s="4">
        <v>4</v>
      </c>
      <c r="T1011" s="4">
        <v>4</v>
      </c>
      <c r="U1011" s="5" t="s">
        <v>11380</v>
      </c>
      <c r="V1011" s="5" t="s">
        <v>11380</v>
      </c>
      <c r="W1011" s="5" t="s">
        <v>11040</v>
      </c>
      <c r="X1011" s="5" t="s">
        <v>11040</v>
      </c>
      <c r="Y1011" s="4">
        <v>311</v>
      </c>
      <c r="Z1011" s="4">
        <v>282</v>
      </c>
      <c r="AA1011" s="4">
        <v>482</v>
      </c>
      <c r="AB1011" s="4">
        <v>3</v>
      </c>
      <c r="AC1011" s="4">
        <v>4</v>
      </c>
      <c r="AD1011" s="4">
        <v>13</v>
      </c>
      <c r="AE1011" s="4">
        <v>25</v>
      </c>
      <c r="AF1011" s="4">
        <v>6</v>
      </c>
      <c r="AG1011" s="4">
        <v>12</v>
      </c>
      <c r="AH1011" s="4">
        <v>3</v>
      </c>
      <c r="AI1011" s="4">
        <v>7</v>
      </c>
      <c r="AJ1011" s="4">
        <v>5</v>
      </c>
      <c r="AK1011" s="4">
        <v>11</v>
      </c>
      <c r="AL1011" s="4">
        <v>2</v>
      </c>
      <c r="AM1011" s="4">
        <v>3</v>
      </c>
      <c r="AN1011" s="4">
        <v>0</v>
      </c>
      <c r="AO1011" s="4">
        <v>0</v>
      </c>
      <c r="AP1011" s="3" t="s">
        <v>61</v>
      </c>
      <c r="AQ1011" s="3" t="s">
        <v>59</v>
      </c>
      <c r="AR1011" s="6" t="str">
        <f>HYPERLINK("http://catalog.hathitrust.org/Record/000740197","HathiTrust Record")</f>
        <v>HathiTrust Record</v>
      </c>
      <c r="AS1011" s="6" t="str">
        <f>HYPERLINK("https://creighton-primo.hosted.exlibrisgroup.com/primo-explore/search?tab=default_tab&amp;search_scope=EVERYTHING&amp;vid=01CRU&amp;lang=en_US&amp;offset=0&amp;query=any,contains,991004819969702656","Catalog Record")</f>
        <v>Catalog Record</v>
      </c>
      <c r="AT1011" s="6" t="str">
        <f>HYPERLINK("http://www.worldcat.org/oclc/5328638","WorldCat Record")</f>
        <v>WorldCat Record</v>
      </c>
      <c r="AU1011" s="3" t="s">
        <v>11381</v>
      </c>
      <c r="AV1011" s="3" t="s">
        <v>11382</v>
      </c>
      <c r="AW1011" s="3" t="s">
        <v>11383</v>
      </c>
      <c r="AX1011" s="3" t="s">
        <v>11383</v>
      </c>
      <c r="AY1011" s="3" t="s">
        <v>11384</v>
      </c>
      <c r="AZ1011" s="3" t="s">
        <v>75</v>
      </c>
      <c r="BC1011" s="3" t="s">
        <v>11385</v>
      </c>
      <c r="BD1011" s="3" t="s">
        <v>11386</v>
      </c>
    </row>
    <row r="1012" spans="1:56" ht="44.25" customHeight="1" x14ac:dyDescent="0.25">
      <c r="A1012" s="7" t="s">
        <v>61</v>
      </c>
      <c r="B1012" s="2" t="s">
        <v>11387</v>
      </c>
      <c r="C1012" s="2" t="s">
        <v>11388</v>
      </c>
      <c r="D1012" s="2" t="s">
        <v>11389</v>
      </c>
      <c r="F1012" s="3" t="s">
        <v>61</v>
      </c>
      <c r="G1012" s="3" t="s">
        <v>60</v>
      </c>
      <c r="H1012" s="3" t="s">
        <v>61</v>
      </c>
      <c r="I1012" s="3" t="s">
        <v>61</v>
      </c>
      <c r="J1012" s="3" t="s">
        <v>62</v>
      </c>
      <c r="K1012" s="2" t="s">
        <v>11390</v>
      </c>
      <c r="L1012" s="2" t="s">
        <v>11391</v>
      </c>
      <c r="M1012" s="3" t="s">
        <v>466</v>
      </c>
      <c r="O1012" s="3" t="s">
        <v>114</v>
      </c>
      <c r="P1012" s="3" t="s">
        <v>335</v>
      </c>
      <c r="Q1012" s="2" t="s">
        <v>11392</v>
      </c>
      <c r="R1012" s="3" t="s">
        <v>68</v>
      </c>
      <c r="S1012" s="4">
        <v>3</v>
      </c>
      <c r="T1012" s="4">
        <v>3</v>
      </c>
      <c r="U1012" s="5" t="s">
        <v>11393</v>
      </c>
      <c r="V1012" s="5" t="s">
        <v>11393</v>
      </c>
      <c r="W1012" s="5" t="s">
        <v>11040</v>
      </c>
      <c r="X1012" s="5" t="s">
        <v>11040</v>
      </c>
      <c r="Y1012" s="4">
        <v>495</v>
      </c>
      <c r="Z1012" s="4">
        <v>413</v>
      </c>
      <c r="AA1012" s="4">
        <v>463</v>
      </c>
      <c r="AB1012" s="4">
        <v>3</v>
      </c>
      <c r="AC1012" s="4">
        <v>3</v>
      </c>
      <c r="AD1012" s="4">
        <v>20</v>
      </c>
      <c r="AE1012" s="4">
        <v>24</v>
      </c>
      <c r="AF1012" s="4">
        <v>6</v>
      </c>
      <c r="AG1012" s="4">
        <v>8</v>
      </c>
      <c r="AH1012" s="4">
        <v>7</v>
      </c>
      <c r="AI1012" s="4">
        <v>7</v>
      </c>
      <c r="AJ1012" s="4">
        <v>11</v>
      </c>
      <c r="AK1012" s="4">
        <v>14</v>
      </c>
      <c r="AL1012" s="4">
        <v>2</v>
      </c>
      <c r="AM1012" s="4">
        <v>2</v>
      </c>
      <c r="AN1012" s="4">
        <v>0</v>
      </c>
      <c r="AO1012" s="4">
        <v>0</v>
      </c>
      <c r="AP1012" s="3" t="s">
        <v>61</v>
      </c>
      <c r="AQ1012" s="3" t="s">
        <v>59</v>
      </c>
      <c r="AR1012" s="6" t="str">
        <f>HYPERLINK("http://catalog.hathitrust.org/Record/000177042","HathiTrust Record")</f>
        <v>HathiTrust Record</v>
      </c>
      <c r="AS1012" s="6" t="str">
        <f>HYPERLINK("https://creighton-primo.hosted.exlibrisgroup.com/primo-explore/search?tab=default_tab&amp;search_scope=EVERYTHING&amp;vid=01CRU&amp;lang=en_US&amp;offset=0&amp;query=any,contains,991004569219702656","Catalog Record")</f>
        <v>Catalog Record</v>
      </c>
      <c r="AT1012" s="6" t="str">
        <f>HYPERLINK("http://www.worldcat.org/oclc/4010164","WorldCat Record")</f>
        <v>WorldCat Record</v>
      </c>
      <c r="AU1012" s="3" t="s">
        <v>11394</v>
      </c>
      <c r="AV1012" s="3" t="s">
        <v>11395</v>
      </c>
      <c r="AW1012" s="3" t="s">
        <v>11396</v>
      </c>
      <c r="AX1012" s="3" t="s">
        <v>11396</v>
      </c>
      <c r="AY1012" s="3" t="s">
        <v>11397</v>
      </c>
      <c r="AZ1012" s="3" t="s">
        <v>75</v>
      </c>
      <c r="BB1012" s="3" t="s">
        <v>11398</v>
      </c>
      <c r="BC1012" s="3" t="s">
        <v>11399</v>
      </c>
      <c r="BD1012" s="3" t="s">
        <v>11400</v>
      </c>
    </row>
    <row r="1013" spans="1:56" ht="44.25" customHeight="1" x14ac:dyDescent="0.25">
      <c r="A1013" s="7" t="s">
        <v>61</v>
      </c>
      <c r="B1013" s="2" t="s">
        <v>11401</v>
      </c>
      <c r="C1013" s="2" t="s">
        <v>11402</v>
      </c>
      <c r="D1013" s="2" t="s">
        <v>11403</v>
      </c>
      <c r="F1013" s="3" t="s">
        <v>61</v>
      </c>
      <c r="G1013" s="3" t="s">
        <v>60</v>
      </c>
      <c r="H1013" s="3" t="s">
        <v>61</v>
      </c>
      <c r="I1013" s="3" t="s">
        <v>61</v>
      </c>
      <c r="J1013" s="3" t="s">
        <v>62</v>
      </c>
      <c r="K1013" s="2" t="s">
        <v>11404</v>
      </c>
      <c r="L1013" s="2" t="s">
        <v>11405</v>
      </c>
      <c r="M1013" s="3" t="s">
        <v>1870</v>
      </c>
      <c r="O1013" s="3" t="s">
        <v>114</v>
      </c>
      <c r="P1013" s="3" t="s">
        <v>235</v>
      </c>
      <c r="R1013" s="3" t="s">
        <v>68</v>
      </c>
      <c r="S1013" s="4">
        <v>3</v>
      </c>
      <c r="T1013" s="4">
        <v>3</v>
      </c>
      <c r="U1013" s="5" t="s">
        <v>9370</v>
      </c>
      <c r="V1013" s="5" t="s">
        <v>9370</v>
      </c>
      <c r="W1013" s="5" t="s">
        <v>680</v>
      </c>
      <c r="X1013" s="5" t="s">
        <v>680</v>
      </c>
      <c r="Y1013" s="4">
        <v>645</v>
      </c>
      <c r="Z1013" s="4">
        <v>520</v>
      </c>
      <c r="AA1013" s="4">
        <v>818</v>
      </c>
      <c r="AB1013" s="4">
        <v>5</v>
      </c>
      <c r="AC1013" s="4">
        <v>7</v>
      </c>
      <c r="AD1013" s="4">
        <v>21</v>
      </c>
      <c r="AE1013" s="4">
        <v>28</v>
      </c>
      <c r="AF1013" s="4">
        <v>8</v>
      </c>
      <c r="AG1013" s="4">
        <v>13</v>
      </c>
      <c r="AH1013" s="4">
        <v>6</v>
      </c>
      <c r="AI1013" s="4">
        <v>7</v>
      </c>
      <c r="AJ1013" s="4">
        <v>11</v>
      </c>
      <c r="AK1013" s="4">
        <v>13</v>
      </c>
      <c r="AL1013" s="4">
        <v>2</v>
      </c>
      <c r="AM1013" s="4">
        <v>3</v>
      </c>
      <c r="AN1013" s="4">
        <v>0</v>
      </c>
      <c r="AO1013" s="4">
        <v>0</v>
      </c>
      <c r="AP1013" s="3" t="s">
        <v>61</v>
      </c>
      <c r="AQ1013" s="3" t="s">
        <v>59</v>
      </c>
      <c r="AR1013" s="6" t="str">
        <f>HYPERLINK("http://catalog.hathitrust.org/Record/002905554","HathiTrust Record")</f>
        <v>HathiTrust Record</v>
      </c>
      <c r="AS1013" s="6" t="str">
        <f>HYPERLINK("https://creighton-primo.hosted.exlibrisgroup.com/primo-explore/search?tab=default_tab&amp;search_scope=EVERYTHING&amp;vid=01CRU&amp;lang=en_US&amp;offset=0&amp;query=any,contains,991002317039702656","Catalog Record")</f>
        <v>Catalog Record</v>
      </c>
      <c r="AT1013" s="6" t="str">
        <f>HYPERLINK("http://www.worldcat.org/oclc/30069392","WorldCat Record")</f>
        <v>WorldCat Record</v>
      </c>
      <c r="AU1013" s="3" t="s">
        <v>11406</v>
      </c>
      <c r="AV1013" s="3" t="s">
        <v>11407</v>
      </c>
      <c r="AW1013" s="3" t="s">
        <v>11408</v>
      </c>
      <c r="AX1013" s="3" t="s">
        <v>11408</v>
      </c>
      <c r="AY1013" s="3" t="s">
        <v>11409</v>
      </c>
      <c r="AZ1013" s="3" t="s">
        <v>75</v>
      </c>
      <c r="BB1013" s="3" t="s">
        <v>11410</v>
      </c>
      <c r="BC1013" s="3" t="s">
        <v>11411</v>
      </c>
      <c r="BD1013" s="3" t="s">
        <v>11412</v>
      </c>
    </row>
    <row r="1014" spans="1:56" ht="44.25" customHeight="1" x14ac:dyDescent="0.25">
      <c r="A1014" s="7" t="s">
        <v>61</v>
      </c>
      <c r="B1014" s="2" t="s">
        <v>11413</v>
      </c>
      <c r="C1014" s="2" t="s">
        <v>11414</v>
      </c>
      <c r="D1014" s="2" t="s">
        <v>11415</v>
      </c>
      <c r="F1014" s="3" t="s">
        <v>61</v>
      </c>
      <c r="G1014" s="3" t="s">
        <v>60</v>
      </c>
      <c r="H1014" s="3" t="s">
        <v>61</v>
      </c>
      <c r="I1014" s="3" t="s">
        <v>61</v>
      </c>
      <c r="J1014" s="3" t="s">
        <v>62</v>
      </c>
      <c r="K1014" s="2" t="s">
        <v>11416</v>
      </c>
      <c r="L1014" s="2" t="s">
        <v>11417</v>
      </c>
      <c r="M1014" s="3" t="s">
        <v>552</v>
      </c>
      <c r="O1014" s="3" t="s">
        <v>114</v>
      </c>
      <c r="P1014" s="3" t="s">
        <v>192</v>
      </c>
      <c r="R1014" s="3" t="s">
        <v>68</v>
      </c>
      <c r="S1014" s="4">
        <v>9</v>
      </c>
      <c r="T1014" s="4">
        <v>9</v>
      </c>
      <c r="U1014" s="5" t="s">
        <v>9449</v>
      </c>
      <c r="V1014" s="5" t="s">
        <v>9449</v>
      </c>
      <c r="W1014" s="5" t="s">
        <v>11418</v>
      </c>
      <c r="X1014" s="5" t="s">
        <v>11418</v>
      </c>
      <c r="Y1014" s="4">
        <v>494</v>
      </c>
      <c r="Z1014" s="4">
        <v>369</v>
      </c>
      <c r="AA1014" s="4">
        <v>373</v>
      </c>
      <c r="AB1014" s="4">
        <v>5</v>
      </c>
      <c r="AC1014" s="4">
        <v>5</v>
      </c>
      <c r="AD1014" s="4">
        <v>21</v>
      </c>
      <c r="AE1014" s="4">
        <v>21</v>
      </c>
      <c r="AF1014" s="4">
        <v>8</v>
      </c>
      <c r="AG1014" s="4">
        <v>8</v>
      </c>
      <c r="AH1014" s="4">
        <v>4</v>
      </c>
      <c r="AI1014" s="4">
        <v>4</v>
      </c>
      <c r="AJ1014" s="4">
        <v>12</v>
      </c>
      <c r="AK1014" s="4">
        <v>12</v>
      </c>
      <c r="AL1014" s="4">
        <v>4</v>
      </c>
      <c r="AM1014" s="4">
        <v>4</v>
      </c>
      <c r="AN1014" s="4">
        <v>0</v>
      </c>
      <c r="AO1014" s="4">
        <v>0</v>
      </c>
      <c r="AP1014" s="3" t="s">
        <v>61</v>
      </c>
      <c r="AQ1014" s="3" t="s">
        <v>59</v>
      </c>
      <c r="AR1014" s="6" t="str">
        <f>HYPERLINK("http://catalog.hathitrust.org/Record/001299697","HathiTrust Record")</f>
        <v>HathiTrust Record</v>
      </c>
      <c r="AS1014" s="6" t="str">
        <f>HYPERLINK("https://creighton-primo.hosted.exlibrisgroup.com/primo-explore/search?tab=default_tab&amp;search_scope=EVERYTHING&amp;vid=01CRU&amp;lang=en_US&amp;offset=0&amp;query=any,contains,991005408289702656","Catalog Record")</f>
        <v>Catalog Record</v>
      </c>
      <c r="AT1014" s="6" t="str">
        <f>HYPERLINK("http://www.worldcat.org/oclc/16681339","WorldCat Record")</f>
        <v>WorldCat Record</v>
      </c>
      <c r="AU1014" s="3" t="s">
        <v>11419</v>
      </c>
      <c r="AV1014" s="3" t="s">
        <v>11420</v>
      </c>
      <c r="AW1014" s="3" t="s">
        <v>11421</v>
      </c>
      <c r="AX1014" s="3" t="s">
        <v>11421</v>
      </c>
      <c r="AY1014" s="3" t="s">
        <v>11422</v>
      </c>
      <c r="AZ1014" s="3" t="s">
        <v>75</v>
      </c>
      <c r="BB1014" s="3" t="s">
        <v>11423</v>
      </c>
      <c r="BC1014" s="3" t="s">
        <v>11424</v>
      </c>
      <c r="BD1014" s="3" t="s">
        <v>11425</v>
      </c>
    </row>
    <row r="1015" spans="1:56" ht="44.25" customHeight="1" x14ac:dyDescent="0.25">
      <c r="A1015" s="7" t="s">
        <v>61</v>
      </c>
      <c r="B1015" s="2" t="s">
        <v>11426</v>
      </c>
      <c r="C1015" s="2" t="s">
        <v>11427</v>
      </c>
      <c r="D1015" s="2" t="s">
        <v>11428</v>
      </c>
      <c r="F1015" s="3" t="s">
        <v>61</v>
      </c>
      <c r="G1015" s="3" t="s">
        <v>60</v>
      </c>
      <c r="H1015" s="3" t="s">
        <v>61</v>
      </c>
      <c r="I1015" s="3" t="s">
        <v>61</v>
      </c>
      <c r="J1015" s="3" t="s">
        <v>62</v>
      </c>
      <c r="K1015" s="2" t="s">
        <v>11429</v>
      </c>
      <c r="L1015" s="2" t="s">
        <v>11430</v>
      </c>
      <c r="M1015" s="3" t="s">
        <v>1758</v>
      </c>
      <c r="O1015" s="3" t="s">
        <v>114</v>
      </c>
      <c r="P1015" s="3" t="s">
        <v>235</v>
      </c>
      <c r="R1015" s="3" t="s">
        <v>68</v>
      </c>
      <c r="S1015" s="4">
        <v>3</v>
      </c>
      <c r="T1015" s="4">
        <v>3</v>
      </c>
      <c r="U1015" s="5" t="s">
        <v>11431</v>
      </c>
      <c r="V1015" s="5" t="s">
        <v>11431</v>
      </c>
      <c r="W1015" s="5" t="s">
        <v>11432</v>
      </c>
      <c r="X1015" s="5" t="s">
        <v>11432</v>
      </c>
      <c r="Y1015" s="4">
        <v>180</v>
      </c>
      <c r="Z1015" s="4">
        <v>166</v>
      </c>
      <c r="AA1015" s="4">
        <v>175</v>
      </c>
      <c r="AB1015" s="4">
        <v>2</v>
      </c>
      <c r="AC1015" s="4">
        <v>2</v>
      </c>
      <c r="AD1015" s="4">
        <v>11</v>
      </c>
      <c r="AE1015" s="4">
        <v>11</v>
      </c>
      <c r="AF1015" s="4">
        <v>2</v>
      </c>
      <c r="AG1015" s="4">
        <v>2</v>
      </c>
      <c r="AH1015" s="4">
        <v>3</v>
      </c>
      <c r="AI1015" s="4">
        <v>3</v>
      </c>
      <c r="AJ1015" s="4">
        <v>9</v>
      </c>
      <c r="AK1015" s="4">
        <v>9</v>
      </c>
      <c r="AL1015" s="4">
        <v>1</v>
      </c>
      <c r="AM1015" s="4">
        <v>1</v>
      </c>
      <c r="AN1015" s="4">
        <v>0</v>
      </c>
      <c r="AO1015" s="4">
        <v>0</v>
      </c>
      <c r="AP1015" s="3" t="s">
        <v>61</v>
      </c>
      <c r="AQ1015" s="3" t="s">
        <v>61</v>
      </c>
      <c r="AS1015" s="6" t="str">
        <f>HYPERLINK("https://creighton-primo.hosted.exlibrisgroup.com/primo-explore/search?tab=default_tab&amp;search_scope=EVERYTHING&amp;vid=01CRU&amp;lang=en_US&amp;offset=0&amp;query=any,contains,991005191419702656","Catalog Record")</f>
        <v>Catalog Record</v>
      </c>
      <c r="AT1015" s="6" t="str">
        <f>HYPERLINK("http://www.worldcat.org/oclc/7999578","WorldCat Record")</f>
        <v>WorldCat Record</v>
      </c>
      <c r="AU1015" s="3" t="s">
        <v>11433</v>
      </c>
      <c r="AV1015" s="3" t="s">
        <v>11434</v>
      </c>
      <c r="AW1015" s="3" t="s">
        <v>11435</v>
      </c>
      <c r="AX1015" s="3" t="s">
        <v>11435</v>
      </c>
      <c r="AY1015" s="3" t="s">
        <v>11436</v>
      </c>
      <c r="AZ1015" s="3" t="s">
        <v>75</v>
      </c>
      <c r="BB1015" s="3" t="s">
        <v>11437</v>
      </c>
      <c r="BC1015" s="3" t="s">
        <v>11438</v>
      </c>
      <c r="BD1015" s="3" t="s">
        <v>11439</v>
      </c>
    </row>
    <row r="1016" spans="1:56" ht="44.25" customHeight="1" x14ac:dyDescent="0.25">
      <c r="A1016" s="7" t="s">
        <v>61</v>
      </c>
      <c r="B1016" s="2" t="s">
        <v>11440</v>
      </c>
      <c r="C1016" s="2" t="s">
        <v>11441</v>
      </c>
      <c r="D1016" s="2" t="s">
        <v>11442</v>
      </c>
      <c r="F1016" s="3" t="s">
        <v>61</v>
      </c>
      <c r="G1016" s="3" t="s">
        <v>60</v>
      </c>
      <c r="H1016" s="3" t="s">
        <v>61</v>
      </c>
      <c r="I1016" s="3" t="s">
        <v>61</v>
      </c>
      <c r="J1016" s="3" t="s">
        <v>62</v>
      </c>
      <c r="L1016" s="2" t="s">
        <v>11443</v>
      </c>
      <c r="M1016" s="3" t="s">
        <v>466</v>
      </c>
      <c r="O1016" s="3" t="s">
        <v>114</v>
      </c>
      <c r="P1016" s="3" t="s">
        <v>437</v>
      </c>
      <c r="Q1016" s="2" t="s">
        <v>11444</v>
      </c>
      <c r="R1016" s="3" t="s">
        <v>68</v>
      </c>
      <c r="S1016" s="4">
        <v>3</v>
      </c>
      <c r="T1016" s="4">
        <v>3</v>
      </c>
      <c r="U1016" s="5" t="s">
        <v>11431</v>
      </c>
      <c r="V1016" s="5" t="s">
        <v>11431</v>
      </c>
      <c r="W1016" s="5" t="s">
        <v>11432</v>
      </c>
      <c r="X1016" s="5" t="s">
        <v>11432</v>
      </c>
      <c r="Y1016" s="4">
        <v>403</v>
      </c>
      <c r="Z1016" s="4">
        <v>325</v>
      </c>
      <c r="AA1016" s="4">
        <v>329</v>
      </c>
      <c r="AB1016" s="4">
        <v>2</v>
      </c>
      <c r="AC1016" s="4">
        <v>2</v>
      </c>
      <c r="AD1016" s="4">
        <v>22</v>
      </c>
      <c r="AE1016" s="4">
        <v>22</v>
      </c>
      <c r="AF1016" s="4">
        <v>6</v>
      </c>
      <c r="AG1016" s="4">
        <v>6</v>
      </c>
      <c r="AH1016" s="4">
        <v>7</v>
      </c>
      <c r="AI1016" s="4">
        <v>7</v>
      </c>
      <c r="AJ1016" s="4">
        <v>12</v>
      </c>
      <c r="AK1016" s="4">
        <v>12</v>
      </c>
      <c r="AL1016" s="4">
        <v>1</v>
      </c>
      <c r="AM1016" s="4">
        <v>1</v>
      </c>
      <c r="AN1016" s="4">
        <v>2</v>
      </c>
      <c r="AO1016" s="4">
        <v>2</v>
      </c>
      <c r="AP1016" s="3" t="s">
        <v>61</v>
      </c>
      <c r="AQ1016" s="3" t="s">
        <v>59</v>
      </c>
      <c r="AR1016" s="6" t="str">
        <f>HYPERLINK("http://catalog.hathitrust.org/Record/000259363","HathiTrust Record")</f>
        <v>HathiTrust Record</v>
      </c>
      <c r="AS1016" s="6" t="str">
        <f>HYPERLINK("https://creighton-primo.hosted.exlibrisgroup.com/primo-explore/search?tab=default_tab&amp;search_scope=EVERYTHING&amp;vid=01CRU&amp;lang=en_US&amp;offset=0&amp;query=any,contains,991004639609702656","Catalog Record")</f>
        <v>Catalog Record</v>
      </c>
      <c r="AT1016" s="6" t="str">
        <f>HYPERLINK("http://www.worldcat.org/oclc/4593839","WorldCat Record")</f>
        <v>WorldCat Record</v>
      </c>
      <c r="AU1016" s="3" t="s">
        <v>11445</v>
      </c>
      <c r="AV1016" s="3" t="s">
        <v>11446</v>
      </c>
      <c r="AW1016" s="3" t="s">
        <v>11447</v>
      </c>
      <c r="AX1016" s="3" t="s">
        <v>11447</v>
      </c>
      <c r="AY1016" s="3" t="s">
        <v>11448</v>
      </c>
      <c r="AZ1016" s="3" t="s">
        <v>75</v>
      </c>
      <c r="BB1016" s="3" t="s">
        <v>11449</v>
      </c>
      <c r="BC1016" s="3" t="s">
        <v>11450</v>
      </c>
      <c r="BD1016" s="3" t="s">
        <v>11451</v>
      </c>
    </row>
    <row r="1017" spans="1:56" ht="44.25" customHeight="1" x14ac:dyDescent="0.25">
      <c r="A1017" s="7" t="s">
        <v>61</v>
      </c>
      <c r="B1017" s="2" t="s">
        <v>11452</v>
      </c>
      <c r="C1017" s="2" t="s">
        <v>11453</v>
      </c>
      <c r="D1017" s="2" t="s">
        <v>11454</v>
      </c>
      <c r="F1017" s="3" t="s">
        <v>61</v>
      </c>
      <c r="G1017" s="3" t="s">
        <v>60</v>
      </c>
      <c r="H1017" s="3" t="s">
        <v>61</v>
      </c>
      <c r="I1017" s="3" t="s">
        <v>61</v>
      </c>
      <c r="J1017" s="3" t="s">
        <v>62</v>
      </c>
      <c r="K1017" s="2" t="s">
        <v>11455</v>
      </c>
      <c r="L1017" s="2" t="s">
        <v>11456</v>
      </c>
      <c r="M1017" s="3" t="s">
        <v>605</v>
      </c>
      <c r="O1017" s="3" t="s">
        <v>114</v>
      </c>
      <c r="P1017" s="3" t="s">
        <v>235</v>
      </c>
      <c r="R1017" s="3" t="s">
        <v>68</v>
      </c>
      <c r="S1017" s="4">
        <v>2</v>
      </c>
      <c r="T1017" s="4">
        <v>2</v>
      </c>
      <c r="U1017" s="5" t="s">
        <v>11457</v>
      </c>
      <c r="V1017" s="5" t="s">
        <v>11457</v>
      </c>
      <c r="W1017" s="5" t="s">
        <v>11458</v>
      </c>
      <c r="X1017" s="5" t="s">
        <v>11458</v>
      </c>
      <c r="Y1017" s="4">
        <v>348</v>
      </c>
      <c r="Z1017" s="4">
        <v>284</v>
      </c>
      <c r="AA1017" s="4">
        <v>292</v>
      </c>
      <c r="AB1017" s="4">
        <v>3</v>
      </c>
      <c r="AC1017" s="4">
        <v>3</v>
      </c>
      <c r="AD1017" s="4">
        <v>16</v>
      </c>
      <c r="AE1017" s="4">
        <v>16</v>
      </c>
      <c r="AF1017" s="4">
        <v>6</v>
      </c>
      <c r="AG1017" s="4">
        <v>6</v>
      </c>
      <c r="AH1017" s="4">
        <v>4</v>
      </c>
      <c r="AI1017" s="4">
        <v>4</v>
      </c>
      <c r="AJ1017" s="4">
        <v>12</v>
      </c>
      <c r="AK1017" s="4">
        <v>12</v>
      </c>
      <c r="AL1017" s="4">
        <v>2</v>
      </c>
      <c r="AM1017" s="4">
        <v>2</v>
      </c>
      <c r="AN1017" s="4">
        <v>0</v>
      </c>
      <c r="AO1017" s="4">
        <v>0</v>
      </c>
      <c r="AP1017" s="3" t="s">
        <v>61</v>
      </c>
      <c r="AQ1017" s="3" t="s">
        <v>59</v>
      </c>
      <c r="AR1017" s="6" t="str">
        <f>HYPERLINK("http://catalog.hathitrust.org/Record/002554564","HathiTrust Record")</f>
        <v>HathiTrust Record</v>
      </c>
      <c r="AS1017" s="6" t="str">
        <f>HYPERLINK("https://creighton-primo.hosted.exlibrisgroup.com/primo-explore/search?tab=default_tab&amp;search_scope=EVERYTHING&amp;vid=01CRU&amp;lang=en_US&amp;offset=0&amp;query=any,contains,991001966719702656","Catalog Record")</f>
        <v>Catalog Record</v>
      </c>
      <c r="AT1017" s="6" t="str">
        <f>HYPERLINK("http://www.worldcat.org/oclc/24913065","WorldCat Record")</f>
        <v>WorldCat Record</v>
      </c>
      <c r="AU1017" s="3" t="s">
        <v>11459</v>
      </c>
      <c r="AV1017" s="3" t="s">
        <v>11460</v>
      </c>
      <c r="AW1017" s="3" t="s">
        <v>11461</v>
      </c>
      <c r="AX1017" s="3" t="s">
        <v>11461</v>
      </c>
      <c r="AY1017" s="3" t="s">
        <v>11462</v>
      </c>
      <c r="AZ1017" s="3" t="s">
        <v>75</v>
      </c>
      <c r="BB1017" s="3" t="s">
        <v>11463</v>
      </c>
      <c r="BC1017" s="3" t="s">
        <v>11464</v>
      </c>
      <c r="BD1017" s="3" t="s">
        <v>11465</v>
      </c>
    </row>
    <row r="1018" spans="1:56" ht="44.25" customHeight="1" x14ac:dyDescent="0.25">
      <c r="A1018" s="7" t="s">
        <v>61</v>
      </c>
      <c r="B1018" s="2" t="s">
        <v>11466</v>
      </c>
      <c r="C1018" s="2" t="s">
        <v>11467</v>
      </c>
      <c r="D1018" s="2" t="s">
        <v>11468</v>
      </c>
      <c r="F1018" s="3" t="s">
        <v>61</v>
      </c>
      <c r="G1018" s="3" t="s">
        <v>60</v>
      </c>
      <c r="H1018" s="3" t="s">
        <v>61</v>
      </c>
      <c r="I1018" s="3" t="s">
        <v>61</v>
      </c>
      <c r="J1018" s="3" t="s">
        <v>62</v>
      </c>
      <c r="K1018" s="2" t="s">
        <v>11469</v>
      </c>
      <c r="L1018" s="2" t="s">
        <v>11470</v>
      </c>
      <c r="M1018" s="3" t="s">
        <v>113</v>
      </c>
      <c r="O1018" s="3" t="s">
        <v>114</v>
      </c>
      <c r="P1018" s="3" t="s">
        <v>67</v>
      </c>
      <c r="R1018" s="3" t="s">
        <v>68</v>
      </c>
      <c r="S1018" s="4">
        <v>2</v>
      </c>
      <c r="T1018" s="4">
        <v>2</v>
      </c>
      <c r="U1018" s="5" t="s">
        <v>11471</v>
      </c>
      <c r="V1018" s="5" t="s">
        <v>11471</v>
      </c>
      <c r="W1018" s="5" t="s">
        <v>11432</v>
      </c>
      <c r="X1018" s="5" t="s">
        <v>11432</v>
      </c>
      <c r="Y1018" s="4">
        <v>123</v>
      </c>
      <c r="Z1018" s="4">
        <v>110</v>
      </c>
      <c r="AA1018" s="4">
        <v>764</v>
      </c>
      <c r="AB1018" s="4">
        <v>1</v>
      </c>
      <c r="AC1018" s="4">
        <v>7</v>
      </c>
      <c r="AD1018" s="4">
        <v>5</v>
      </c>
      <c r="AE1018" s="4">
        <v>44</v>
      </c>
      <c r="AF1018" s="4">
        <v>0</v>
      </c>
      <c r="AG1018" s="4">
        <v>12</v>
      </c>
      <c r="AH1018" s="4">
        <v>1</v>
      </c>
      <c r="AI1018" s="4">
        <v>9</v>
      </c>
      <c r="AJ1018" s="4">
        <v>3</v>
      </c>
      <c r="AK1018" s="4">
        <v>9</v>
      </c>
      <c r="AL1018" s="4">
        <v>0</v>
      </c>
      <c r="AM1018" s="4">
        <v>4</v>
      </c>
      <c r="AN1018" s="4">
        <v>2</v>
      </c>
      <c r="AO1018" s="4">
        <v>17</v>
      </c>
      <c r="AP1018" s="3" t="s">
        <v>61</v>
      </c>
      <c r="AQ1018" s="3" t="s">
        <v>59</v>
      </c>
      <c r="AR1018" s="6" t="str">
        <f>HYPERLINK("http://catalog.hathitrust.org/Record/006030753","HathiTrust Record")</f>
        <v>HathiTrust Record</v>
      </c>
      <c r="AS1018" s="6" t="str">
        <f>HYPERLINK("https://creighton-primo.hosted.exlibrisgroup.com/primo-explore/search?tab=default_tab&amp;search_scope=EVERYTHING&amp;vid=01CRU&amp;lang=en_US&amp;offset=0&amp;query=any,contains,991004891469702656","Catalog Record")</f>
        <v>Catalog Record</v>
      </c>
      <c r="AT1018" s="6" t="str">
        <f>HYPERLINK("http://www.worldcat.org/oclc/5878343","WorldCat Record")</f>
        <v>WorldCat Record</v>
      </c>
      <c r="AU1018" s="3" t="s">
        <v>11472</v>
      </c>
      <c r="AV1018" s="3" t="s">
        <v>11473</v>
      </c>
      <c r="AW1018" s="3" t="s">
        <v>11474</v>
      </c>
      <c r="AX1018" s="3" t="s">
        <v>11474</v>
      </c>
      <c r="AY1018" s="3" t="s">
        <v>11475</v>
      </c>
      <c r="AZ1018" s="3" t="s">
        <v>75</v>
      </c>
      <c r="BC1018" s="3" t="s">
        <v>11476</v>
      </c>
      <c r="BD1018" s="3" t="s">
        <v>11477</v>
      </c>
    </row>
    <row r="1019" spans="1:56" ht="44.25" customHeight="1" x14ac:dyDescent="0.25">
      <c r="A1019" s="7" t="s">
        <v>61</v>
      </c>
      <c r="B1019" s="2" t="s">
        <v>11478</v>
      </c>
      <c r="C1019" s="2" t="s">
        <v>11479</v>
      </c>
      <c r="D1019" s="2" t="s">
        <v>11480</v>
      </c>
      <c r="F1019" s="3" t="s">
        <v>61</v>
      </c>
      <c r="G1019" s="3" t="s">
        <v>60</v>
      </c>
      <c r="H1019" s="3" t="s">
        <v>61</v>
      </c>
      <c r="I1019" s="3" t="s">
        <v>61</v>
      </c>
      <c r="J1019" s="3" t="s">
        <v>62</v>
      </c>
      <c r="K1019" s="2" t="s">
        <v>11481</v>
      </c>
      <c r="L1019" s="2" t="s">
        <v>11482</v>
      </c>
      <c r="M1019" s="3" t="s">
        <v>220</v>
      </c>
      <c r="O1019" s="3" t="s">
        <v>114</v>
      </c>
      <c r="P1019" s="3" t="s">
        <v>2432</v>
      </c>
      <c r="R1019" s="3" t="s">
        <v>68</v>
      </c>
      <c r="S1019" s="4">
        <v>2</v>
      </c>
      <c r="T1019" s="4">
        <v>2</v>
      </c>
      <c r="U1019" s="5" t="s">
        <v>5439</v>
      </c>
      <c r="V1019" s="5" t="s">
        <v>5439</v>
      </c>
      <c r="W1019" s="5" t="s">
        <v>5439</v>
      </c>
      <c r="X1019" s="5" t="s">
        <v>5439</v>
      </c>
      <c r="Y1019" s="4">
        <v>332</v>
      </c>
      <c r="Z1019" s="4">
        <v>265</v>
      </c>
      <c r="AA1019" s="4">
        <v>282</v>
      </c>
      <c r="AB1019" s="4">
        <v>3</v>
      </c>
      <c r="AC1019" s="4">
        <v>3</v>
      </c>
      <c r="AD1019" s="4">
        <v>17</v>
      </c>
      <c r="AE1019" s="4">
        <v>18</v>
      </c>
      <c r="AF1019" s="4">
        <v>3</v>
      </c>
      <c r="AG1019" s="4">
        <v>4</v>
      </c>
      <c r="AH1019" s="4">
        <v>6</v>
      </c>
      <c r="AI1019" s="4">
        <v>7</v>
      </c>
      <c r="AJ1019" s="4">
        <v>9</v>
      </c>
      <c r="AK1019" s="4">
        <v>9</v>
      </c>
      <c r="AL1019" s="4">
        <v>2</v>
      </c>
      <c r="AM1019" s="4">
        <v>2</v>
      </c>
      <c r="AN1019" s="4">
        <v>1</v>
      </c>
      <c r="AO1019" s="4">
        <v>1</v>
      </c>
      <c r="AP1019" s="3" t="s">
        <v>61</v>
      </c>
      <c r="AQ1019" s="3" t="s">
        <v>59</v>
      </c>
      <c r="AR1019" s="6" t="str">
        <f>HYPERLINK("http://catalog.hathitrust.org/Record/004247227","HathiTrust Record")</f>
        <v>HathiTrust Record</v>
      </c>
      <c r="AS1019" s="6" t="str">
        <f>HYPERLINK("https://creighton-primo.hosted.exlibrisgroup.com/primo-explore/search?tab=default_tab&amp;search_scope=EVERYTHING&amp;vid=01CRU&amp;lang=en_US&amp;offset=0&amp;query=any,contains,991004189609702656","Catalog Record")</f>
        <v>Catalog Record</v>
      </c>
      <c r="AT1019" s="6" t="str">
        <f>HYPERLINK("http://www.worldcat.org/oclc/49261321","WorldCat Record")</f>
        <v>WorldCat Record</v>
      </c>
      <c r="AU1019" s="3" t="s">
        <v>11483</v>
      </c>
      <c r="AV1019" s="3" t="s">
        <v>11484</v>
      </c>
      <c r="AW1019" s="3" t="s">
        <v>11485</v>
      </c>
      <c r="AX1019" s="3" t="s">
        <v>11485</v>
      </c>
      <c r="AY1019" s="3" t="s">
        <v>11486</v>
      </c>
      <c r="AZ1019" s="3" t="s">
        <v>75</v>
      </c>
      <c r="BB1019" s="3" t="s">
        <v>11487</v>
      </c>
      <c r="BC1019" s="3" t="s">
        <v>11488</v>
      </c>
      <c r="BD1019" s="3" t="s">
        <v>11489</v>
      </c>
    </row>
    <row r="1020" spans="1:56" ht="44.25" customHeight="1" x14ac:dyDescent="0.25">
      <c r="A1020" s="7" t="s">
        <v>61</v>
      </c>
      <c r="B1020" s="2" t="s">
        <v>11490</v>
      </c>
      <c r="C1020" s="2" t="s">
        <v>11491</v>
      </c>
      <c r="D1020" s="2" t="s">
        <v>11492</v>
      </c>
      <c r="F1020" s="3" t="s">
        <v>61</v>
      </c>
      <c r="G1020" s="3" t="s">
        <v>60</v>
      </c>
      <c r="H1020" s="3" t="s">
        <v>61</v>
      </c>
      <c r="I1020" s="3" t="s">
        <v>61</v>
      </c>
      <c r="J1020" s="3" t="s">
        <v>62</v>
      </c>
      <c r="K1020" s="2" t="s">
        <v>11493</v>
      </c>
      <c r="L1020" s="2" t="s">
        <v>11494</v>
      </c>
      <c r="M1020" s="3" t="s">
        <v>1870</v>
      </c>
      <c r="N1020" s="2" t="s">
        <v>634</v>
      </c>
      <c r="O1020" s="3" t="s">
        <v>114</v>
      </c>
      <c r="P1020" s="3" t="s">
        <v>115</v>
      </c>
      <c r="R1020" s="3" t="s">
        <v>68</v>
      </c>
      <c r="S1020" s="4">
        <v>8</v>
      </c>
      <c r="T1020" s="4">
        <v>8</v>
      </c>
      <c r="U1020" s="5" t="s">
        <v>9752</v>
      </c>
      <c r="V1020" s="5" t="s">
        <v>9752</v>
      </c>
      <c r="W1020" s="5" t="s">
        <v>11495</v>
      </c>
      <c r="X1020" s="5" t="s">
        <v>11495</v>
      </c>
      <c r="Y1020" s="4">
        <v>2036</v>
      </c>
      <c r="Z1020" s="4">
        <v>1969</v>
      </c>
      <c r="AA1020" s="4">
        <v>1997</v>
      </c>
      <c r="AB1020" s="4">
        <v>26</v>
      </c>
      <c r="AC1020" s="4">
        <v>26</v>
      </c>
      <c r="AD1020" s="4">
        <v>26</v>
      </c>
      <c r="AE1020" s="4">
        <v>26</v>
      </c>
      <c r="AF1020" s="4">
        <v>11</v>
      </c>
      <c r="AG1020" s="4">
        <v>11</v>
      </c>
      <c r="AH1020" s="4">
        <v>4</v>
      </c>
      <c r="AI1020" s="4">
        <v>4</v>
      </c>
      <c r="AJ1020" s="4">
        <v>10</v>
      </c>
      <c r="AK1020" s="4">
        <v>10</v>
      </c>
      <c r="AL1020" s="4">
        <v>5</v>
      </c>
      <c r="AM1020" s="4">
        <v>5</v>
      </c>
      <c r="AN1020" s="4">
        <v>0</v>
      </c>
      <c r="AO1020" s="4">
        <v>0</v>
      </c>
      <c r="AP1020" s="3" t="s">
        <v>61</v>
      </c>
      <c r="AQ1020" s="3" t="s">
        <v>61</v>
      </c>
      <c r="AS1020" s="6" t="str">
        <f>HYPERLINK("https://creighton-primo.hosted.exlibrisgroup.com/primo-explore/search?tab=default_tab&amp;search_scope=EVERYTHING&amp;vid=01CRU&amp;lang=en_US&amp;offset=0&amp;query=any,contains,991004573549702656","Catalog Record")</f>
        <v>Catalog Record</v>
      </c>
      <c r="AT1020" s="6" t="str">
        <f>HYPERLINK("http://www.worldcat.org/oclc/29312110","WorldCat Record")</f>
        <v>WorldCat Record</v>
      </c>
      <c r="AU1020" s="3" t="s">
        <v>11496</v>
      </c>
      <c r="AV1020" s="3" t="s">
        <v>11497</v>
      </c>
      <c r="AW1020" s="3" t="s">
        <v>11498</v>
      </c>
      <c r="AX1020" s="3" t="s">
        <v>11498</v>
      </c>
      <c r="AY1020" s="3" t="s">
        <v>11499</v>
      </c>
      <c r="AZ1020" s="3" t="s">
        <v>75</v>
      </c>
      <c r="BB1020" s="3" t="s">
        <v>11500</v>
      </c>
      <c r="BC1020" s="3" t="s">
        <v>11501</v>
      </c>
      <c r="BD1020" s="3" t="s">
        <v>11502</v>
      </c>
    </row>
    <row r="1021" spans="1:56" ht="44.25" customHeight="1" x14ac:dyDescent="0.25">
      <c r="A1021" s="7" t="s">
        <v>61</v>
      </c>
      <c r="B1021" s="2" t="s">
        <v>11503</v>
      </c>
      <c r="C1021" s="2" t="s">
        <v>11504</v>
      </c>
      <c r="D1021" s="2" t="s">
        <v>11505</v>
      </c>
      <c r="F1021" s="3" t="s">
        <v>61</v>
      </c>
      <c r="G1021" s="3" t="s">
        <v>60</v>
      </c>
      <c r="H1021" s="3" t="s">
        <v>61</v>
      </c>
      <c r="I1021" s="3" t="s">
        <v>61</v>
      </c>
      <c r="J1021" s="3" t="s">
        <v>62</v>
      </c>
      <c r="K1021" s="2" t="s">
        <v>11506</v>
      </c>
      <c r="L1021" s="2" t="s">
        <v>11507</v>
      </c>
      <c r="M1021" s="3" t="s">
        <v>552</v>
      </c>
      <c r="O1021" s="3" t="s">
        <v>114</v>
      </c>
      <c r="P1021" s="3" t="s">
        <v>115</v>
      </c>
      <c r="R1021" s="3" t="s">
        <v>68</v>
      </c>
      <c r="S1021" s="4">
        <v>2</v>
      </c>
      <c r="T1021" s="4">
        <v>2</v>
      </c>
      <c r="U1021" s="5" t="s">
        <v>11508</v>
      </c>
      <c r="V1021" s="5" t="s">
        <v>11508</v>
      </c>
      <c r="W1021" s="5" t="s">
        <v>11509</v>
      </c>
      <c r="X1021" s="5" t="s">
        <v>11509</v>
      </c>
      <c r="Y1021" s="4">
        <v>811</v>
      </c>
      <c r="Z1021" s="4">
        <v>685</v>
      </c>
      <c r="AA1021" s="4">
        <v>735</v>
      </c>
      <c r="AB1021" s="4">
        <v>5</v>
      </c>
      <c r="AC1021" s="4">
        <v>5</v>
      </c>
      <c r="AD1021" s="4">
        <v>26</v>
      </c>
      <c r="AE1021" s="4">
        <v>28</v>
      </c>
      <c r="AF1021" s="4">
        <v>10</v>
      </c>
      <c r="AG1021" s="4">
        <v>11</v>
      </c>
      <c r="AH1021" s="4">
        <v>8</v>
      </c>
      <c r="AI1021" s="4">
        <v>8</v>
      </c>
      <c r="AJ1021" s="4">
        <v>11</v>
      </c>
      <c r="AK1021" s="4">
        <v>12</v>
      </c>
      <c r="AL1021" s="4">
        <v>3</v>
      </c>
      <c r="AM1021" s="4">
        <v>3</v>
      </c>
      <c r="AN1021" s="4">
        <v>0</v>
      </c>
      <c r="AO1021" s="4">
        <v>0</v>
      </c>
      <c r="AP1021" s="3" t="s">
        <v>61</v>
      </c>
      <c r="AQ1021" s="3" t="s">
        <v>59</v>
      </c>
      <c r="AR1021" s="6" t="str">
        <f>HYPERLINK("http://catalog.hathitrust.org/Record/001547846","HathiTrust Record")</f>
        <v>HathiTrust Record</v>
      </c>
      <c r="AS1021" s="6" t="str">
        <f>HYPERLINK("https://creighton-primo.hosted.exlibrisgroup.com/primo-explore/search?tab=default_tab&amp;search_scope=EVERYTHING&amp;vid=01CRU&amp;lang=en_US&amp;offset=0&amp;query=any,contains,991001472499702656","Catalog Record")</f>
        <v>Catalog Record</v>
      </c>
      <c r="AT1021" s="6" t="str">
        <f>HYPERLINK("http://www.worldcat.org/oclc/19554284","WorldCat Record")</f>
        <v>WorldCat Record</v>
      </c>
      <c r="AU1021" s="3" t="s">
        <v>11510</v>
      </c>
      <c r="AV1021" s="3" t="s">
        <v>11511</v>
      </c>
      <c r="AW1021" s="3" t="s">
        <v>11512</v>
      </c>
      <c r="AX1021" s="3" t="s">
        <v>11512</v>
      </c>
      <c r="AY1021" s="3" t="s">
        <v>11513</v>
      </c>
      <c r="AZ1021" s="3" t="s">
        <v>75</v>
      </c>
      <c r="BB1021" s="3" t="s">
        <v>11514</v>
      </c>
      <c r="BC1021" s="3" t="s">
        <v>11515</v>
      </c>
      <c r="BD1021" s="3" t="s">
        <v>11516</v>
      </c>
    </row>
    <row r="1022" spans="1:56" ht="44.25" customHeight="1" x14ac:dyDescent="0.25">
      <c r="A1022" s="7" t="s">
        <v>61</v>
      </c>
      <c r="B1022" s="2" t="s">
        <v>11517</v>
      </c>
      <c r="C1022" s="2" t="s">
        <v>11518</v>
      </c>
      <c r="D1022" s="2" t="s">
        <v>11519</v>
      </c>
      <c r="F1022" s="3" t="s">
        <v>61</v>
      </c>
      <c r="G1022" s="3" t="s">
        <v>60</v>
      </c>
      <c r="H1022" s="3" t="s">
        <v>61</v>
      </c>
      <c r="I1022" s="3" t="s">
        <v>61</v>
      </c>
      <c r="J1022" s="3" t="s">
        <v>62</v>
      </c>
      <c r="K1022" s="2" t="s">
        <v>11520</v>
      </c>
      <c r="L1022" s="2" t="s">
        <v>11521</v>
      </c>
      <c r="M1022" s="3" t="s">
        <v>2391</v>
      </c>
      <c r="O1022" s="3" t="s">
        <v>114</v>
      </c>
      <c r="P1022" s="3" t="s">
        <v>235</v>
      </c>
      <c r="Q1022" s="2" t="s">
        <v>11522</v>
      </c>
      <c r="R1022" s="3" t="s">
        <v>68</v>
      </c>
      <c r="S1022" s="4">
        <v>1</v>
      </c>
      <c r="T1022" s="4">
        <v>1</v>
      </c>
      <c r="U1022" s="5" t="s">
        <v>11523</v>
      </c>
      <c r="V1022" s="5" t="s">
        <v>11523</v>
      </c>
      <c r="W1022" s="5" t="s">
        <v>11524</v>
      </c>
      <c r="X1022" s="5" t="s">
        <v>11524</v>
      </c>
      <c r="Y1022" s="4">
        <v>318</v>
      </c>
      <c r="Z1022" s="4">
        <v>278</v>
      </c>
      <c r="AA1022" s="4">
        <v>284</v>
      </c>
      <c r="AB1022" s="4">
        <v>2</v>
      </c>
      <c r="AC1022" s="4">
        <v>2</v>
      </c>
      <c r="AD1022" s="4">
        <v>29</v>
      </c>
      <c r="AE1022" s="4">
        <v>29</v>
      </c>
      <c r="AF1022" s="4">
        <v>12</v>
      </c>
      <c r="AG1022" s="4">
        <v>12</v>
      </c>
      <c r="AH1022" s="4">
        <v>6</v>
      </c>
      <c r="AI1022" s="4">
        <v>6</v>
      </c>
      <c r="AJ1022" s="4">
        <v>20</v>
      </c>
      <c r="AK1022" s="4">
        <v>20</v>
      </c>
      <c r="AL1022" s="4">
        <v>1</v>
      </c>
      <c r="AM1022" s="4">
        <v>1</v>
      </c>
      <c r="AN1022" s="4">
        <v>0</v>
      </c>
      <c r="AO1022" s="4">
        <v>0</v>
      </c>
      <c r="AP1022" s="3" t="s">
        <v>61</v>
      </c>
      <c r="AQ1022" s="3" t="s">
        <v>61</v>
      </c>
      <c r="AS1022" s="6" t="str">
        <f>HYPERLINK("https://creighton-primo.hosted.exlibrisgroup.com/primo-explore/search?tab=default_tab&amp;search_scope=EVERYTHING&amp;vid=01CRU&amp;lang=en_US&amp;offset=0&amp;query=any,contains,991003578959702656","Catalog Record")</f>
        <v>Catalog Record</v>
      </c>
      <c r="AT1022" s="6" t="str">
        <f>HYPERLINK("http://www.worldcat.org/oclc/45800126","WorldCat Record")</f>
        <v>WorldCat Record</v>
      </c>
      <c r="AU1022" s="3" t="s">
        <v>11525</v>
      </c>
      <c r="AV1022" s="3" t="s">
        <v>11526</v>
      </c>
      <c r="AW1022" s="3" t="s">
        <v>11527</v>
      </c>
      <c r="AX1022" s="3" t="s">
        <v>11527</v>
      </c>
      <c r="AY1022" s="3" t="s">
        <v>11528</v>
      </c>
      <c r="AZ1022" s="3" t="s">
        <v>75</v>
      </c>
      <c r="BB1022" s="3" t="s">
        <v>11529</v>
      </c>
      <c r="BC1022" s="3" t="s">
        <v>11530</v>
      </c>
      <c r="BD1022" s="3" t="s">
        <v>11531</v>
      </c>
    </row>
    <row r="1023" spans="1:56" ht="44.25" customHeight="1" x14ac:dyDescent="0.25">
      <c r="A1023" s="7" t="s">
        <v>61</v>
      </c>
      <c r="B1023" s="2" t="s">
        <v>11532</v>
      </c>
      <c r="C1023" s="2" t="s">
        <v>11533</v>
      </c>
      <c r="D1023" s="2" t="s">
        <v>11534</v>
      </c>
      <c r="F1023" s="3" t="s">
        <v>61</v>
      </c>
      <c r="G1023" s="3" t="s">
        <v>60</v>
      </c>
      <c r="H1023" s="3" t="s">
        <v>61</v>
      </c>
      <c r="I1023" s="3" t="s">
        <v>61</v>
      </c>
      <c r="J1023" s="3" t="s">
        <v>62</v>
      </c>
      <c r="K1023" s="2" t="s">
        <v>11535</v>
      </c>
      <c r="L1023" s="2" t="s">
        <v>11536</v>
      </c>
      <c r="M1023" s="3" t="s">
        <v>379</v>
      </c>
      <c r="O1023" s="3" t="s">
        <v>114</v>
      </c>
      <c r="P1023" s="3" t="s">
        <v>192</v>
      </c>
      <c r="R1023" s="3" t="s">
        <v>68</v>
      </c>
      <c r="S1023" s="4">
        <v>3</v>
      </c>
      <c r="T1023" s="4">
        <v>3</v>
      </c>
      <c r="U1023" s="5" t="s">
        <v>11537</v>
      </c>
      <c r="V1023" s="5" t="s">
        <v>11537</v>
      </c>
      <c r="W1023" s="5" t="s">
        <v>11538</v>
      </c>
      <c r="X1023" s="5" t="s">
        <v>11538</v>
      </c>
      <c r="Y1023" s="4">
        <v>687</v>
      </c>
      <c r="Z1023" s="4">
        <v>512</v>
      </c>
      <c r="AA1023" s="4">
        <v>809</v>
      </c>
      <c r="AB1023" s="4">
        <v>2</v>
      </c>
      <c r="AC1023" s="4">
        <v>6</v>
      </c>
      <c r="AD1023" s="4">
        <v>20</v>
      </c>
      <c r="AE1023" s="4">
        <v>32</v>
      </c>
      <c r="AF1023" s="4">
        <v>6</v>
      </c>
      <c r="AG1023" s="4">
        <v>12</v>
      </c>
      <c r="AH1023" s="4">
        <v>4</v>
      </c>
      <c r="AI1023" s="4">
        <v>7</v>
      </c>
      <c r="AJ1023" s="4">
        <v>14</v>
      </c>
      <c r="AK1023" s="4">
        <v>16</v>
      </c>
      <c r="AL1023" s="4">
        <v>1</v>
      </c>
      <c r="AM1023" s="4">
        <v>4</v>
      </c>
      <c r="AN1023" s="4">
        <v>0</v>
      </c>
      <c r="AO1023" s="4">
        <v>0</v>
      </c>
      <c r="AP1023" s="3" t="s">
        <v>61</v>
      </c>
      <c r="AQ1023" s="3" t="s">
        <v>59</v>
      </c>
      <c r="AR1023" s="6" t="str">
        <f>HYPERLINK("http://catalog.hathitrust.org/Record/004130353","HathiTrust Record")</f>
        <v>HathiTrust Record</v>
      </c>
      <c r="AS1023" s="6" t="str">
        <f>HYPERLINK("https://creighton-primo.hosted.exlibrisgroup.com/primo-explore/search?tab=default_tab&amp;search_scope=EVERYTHING&amp;vid=01CRU&amp;lang=en_US&amp;offset=0&amp;query=any,contains,991003281129702656","Catalog Record")</f>
        <v>Catalog Record</v>
      </c>
      <c r="AT1023" s="6" t="str">
        <f>HYPERLINK("http://www.worldcat.org/oclc/44391605","WorldCat Record")</f>
        <v>WorldCat Record</v>
      </c>
      <c r="AU1023" s="3" t="s">
        <v>11539</v>
      </c>
      <c r="AV1023" s="3" t="s">
        <v>11540</v>
      </c>
      <c r="AW1023" s="3" t="s">
        <v>11541</v>
      </c>
      <c r="AX1023" s="3" t="s">
        <v>11541</v>
      </c>
      <c r="AY1023" s="3" t="s">
        <v>11542</v>
      </c>
      <c r="AZ1023" s="3" t="s">
        <v>75</v>
      </c>
      <c r="BB1023" s="3" t="s">
        <v>11543</v>
      </c>
      <c r="BC1023" s="3" t="s">
        <v>11544</v>
      </c>
      <c r="BD1023" s="3" t="s">
        <v>11545</v>
      </c>
    </row>
    <row r="1024" spans="1:56" ht="44.25" customHeight="1" x14ac:dyDescent="0.25">
      <c r="A1024" s="7" t="s">
        <v>61</v>
      </c>
      <c r="B1024" s="2" t="s">
        <v>11546</v>
      </c>
      <c r="C1024" s="2" t="s">
        <v>11547</v>
      </c>
      <c r="D1024" s="2" t="s">
        <v>11548</v>
      </c>
      <c r="F1024" s="3" t="s">
        <v>61</v>
      </c>
      <c r="G1024" s="3" t="s">
        <v>60</v>
      </c>
      <c r="H1024" s="3" t="s">
        <v>61</v>
      </c>
      <c r="I1024" s="3" t="s">
        <v>61</v>
      </c>
      <c r="J1024" s="3" t="s">
        <v>62</v>
      </c>
      <c r="K1024" s="2" t="s">
        <v>11549</v>
      </c>
      <c r="L1024" s="2" t="s">
        <v>11550</v>
      </c>
      <c r="M1024" s="3" t="s">
        <v>536</v>
      </c>
      <c r="O1024" s="3" t="s">
        <v>114</v>
      </c>
      <c r="P1024" s="3" t="s">
        <v>1439</v>
      </c>
      <c r="R1024" s="3" t="s">
        <v>68</v>
      </c>
      <c r="S1024" s="4">
        <v>2</v>
      </c>
      <c r="T1024" s="4">
        <v>2</v>
      </c>
      <c r="U1024" s="5" t="s">
        <v>11551</v>
      </c>
      <c r="V1024" s="5" t="s">
        <v>11551</v>
      </c>
      <c r="W1024" s="5" t="s">
        <v>2189</v>
      </c>
      <c r="X1024" s="5" t="s">
        <v>2189</v>
      </c>
      <c r="Y1024" s="4">
        <v>70</v>
      </c>
      <c r="Z1024" s="4">
        <v>70</v>
      </c>
      <c r="AA1024" s="4">
        <v>72</v>
      </c>
      <c r="AB1024" s="4">
        <v>2</v>
      </c>
      <c r="AC1024" s="4">
        <v>2</v>
      </c>
      <c r="AD1024" s="4">
        <v>17</v>
      </c>
      <c r="AE1024" s="4">
        <v>18</v>
      </c>
      <c r="AF1024" s="4">
        <v>5</v>
      </c>
      <c r="AG1024" s="4">
        <v>6</v>
      </c>
      <c r="AH1024" s="4">
        <v>2</v>
      </c>
      <c r="AI1024" s="4">
        <v>2</v>
      </c>
      <c r="AJ1024" s="4">
        <v>15</v>
      </c>
      <c r="AK1024" s="4">
        <v>16</v>
      </c>
      <c r="AL1024" s="4">
        <v>1</v>
      </c>
      <c r="AM1024" s="4">
        <v>1</v>
      </c>
      <c r="AN1024" s="4">
        <v>0</v>
      </c>
      <c r="AO1024" s="4">
        <v>0</v>
      </c>
      <c r="AP1024" s="3" t="s">
        <v>61</v>
      </c>
      <c r="AQ1024" s="3" t="s">
        <v>61</v>
      </c>
      <c r="AS1024" s="6" t="str">
        <f>HYPERLINK("https://creighton-primo.hosted.exlibrisgroup.com/primo-explore/search?tab=default_tab&amp;search_scope=EVERYTHING&amp;vid=01CRU&amp;lang=en_US&amp;offset=0&amp;query=any,contains,991003046259702656","Catalog Record")</f>
        <v>Catalog Record</v>
      </c>
      <c r="AT1024" s="6" t="str">
        <f>HYPERLINK("http://www.worldcat.org/oclc/42619904","WorldCat Record")</f>
        <v>WorldCat Record</v>
      </c>
      <c r="AU1024" s="3" t="s">
        <v>11552</v>
      </c>
      <c r="AV1024" s="3" t="s">
        <v>11553</v>
      </c>
      <c r="AW1024" s="3" t="s">
        <v>11554</v>
      </c>
      <c r="AX1024" s="3" t="s">
        <v>11554</v>
      </c>
      <c r="AY1024" s="3" t="s">
        <v>11555</v>
      </c>
      <c r="AZ1024" s="3" t="s">
        <v>75</v>
      </c>
      <c r="BC1024" s="3" t="s">
        <v>11556</v>
      </c>
      <c r="BD1024" s="3" t="s">
        <v>11557</v>
      </c>
    </row>
    <row r="1025" spans="1:56" ht="44.25" customHeight="1" x14ac:dyDescent="0.25">
      <c r="A1025" s="7" t="s">
        <v>61</v>
      </c>
      <c r="B1025" s="2" t="s">
        <v>11558</v>
      </c>
      <c r="C1025" s="2" t="s">
        <v>11559</v>
      </c>
      <c r="D1025" s="2" t="s">
        <v>11560</v>
      </c>
      <c r="E1025" s="3" t="s">
        <v>84</v>
      </c>
      <c r="F1025" s="3" t="s">
        <v>61</v>
      </c>
      <c r="G1025" s="3" t="s">
        <v>60</v>
      </c>
      <c r="H1025" s="3" t="s">
        <v>61</v>
      </c>
      <c r="I1025" s="3" t="s">
        <v>61</v>
      </c>
      <c r="J1025" s="3" t="s">
        <v>62</v>
      </c>
      <c r="K1025" s="2" t="s">
        <v>11561</v>
      </c>
      <c r="L1025" s="2" t="s">
        <v>11562</v>
      </c>
      <c r="M1025" s="3" t="s">
        <v>1870</v>
      </c>
      <c r="O1025" s="3" t="s">
        <v>114</v>
      </c>
      <c r="P1025" s="3" t="s">
        <v>235</v>
      </c>
      <c r="R1025" s="3" t="s">
        <v>68</v>
      </c>
      <c r="S1025" s="4">
        <v>5</v>
      </c>
      <c r="T1025" s="4">
        <v>5</v>
      </c>
      <c r="U1025" s="5" t="s">
        <v>11563</v>
      </c>
      <c r="V1025" s="5" t="s">
        <v>11563</v>
      </c>
      <c r="W1025" s="5" t="s">
        <v>11564</v>
      </c>
      <c r="X1025" s="5" t="s">
        <v>11564</v>
      </c>
      <c r="Y1025" s="4">
        <v>1031</v>
      </c>
      <c r="Z1025" s="4">
        <v>926</v>
      </c>
      <c r="AA1025" s="4">
        <v>947</v>
      </c>
      <c r="AB1025" s="4">
        <v>10</v>
      </c>
      <c r="AC1025" s="4">
        <v>10</v>
      </c>
      <c r="AD1025" s="4">
        <v>56</v>
      </c>
      <c r="AE1025" s="4">
        <v>56</v>
      </c>
      <c r="AF1025" s="4">
        <v>25</v>
      </c>
      <c r="AG1025" s="4">
        <v>25</v>
      </c>
      <c r="AH1025" s="4">
        <v>9</v>
      </c>
      <c r="AI1025" s="4">
        <v>9</v>
      </c>
      <c r="AJ1025" s="4">
        <v>24</v>
      </c>
      <c r="AK1025" s="4">
        <v>24</v>
      </c>
      <c r="AL1025" s="4">
        <v>9</v>
      </c>
      <c r="AM1025" s="4">
        <v>9</v>
      </c>
      <c r="AN1025" s="4">
        <v>2</v>
      </c>
      <c r="AO1025" s="4">
        <v>2</v>
      </c>
      <c r="AP1025" s="3" t="s">
        <v>61</v>
      </c>
      <c r="AQ1025" s="3" t="s">
        <v>59</v>
      </c>
      <c r="AR1025" s="6" t="str">
        <f>HYPERLINK("http://catalog.hathitrust.org/Record/002857718","HathiTrust Record")</f>
        <v>HathiTrust Record</v>
      </c>
      <c r="AS1025" s="6" t="str">
        <f>HYPERLINK("https://creighton-primo.hosted.exlibrisgroup.com/primo-explore/search?tab=default_tab&amp;search_scope=EVERYTHING&amp;vid=01CRU&amp;lang=en_US&amp;offset=0&amp;query=any,contains,991001941519702656","Catalog Record")</f>
        <v>Catalog Record</v>
      </c>
      <c r="AT1025" s="6" t="str">
        <f>HYPERLINK("http://www.worldcat.org/oclc/24539470","WorldCat Record")</f>
        <v>WorldCat Record</v>
      </c>
      <c r="AU1025" s="3" t="s">
        <v>11565</v>
      </c>
      <c r="AV1025" s="3" t="s">
        <v>11566</v>
      </c>
      <c r="AW1025" s="3" t="s">
        <v>11567</v>
      </c>
      <c r="AX1025" s="3" t="s">
        <v>11567</v>
      </c>
      <c r="AY1025" s="3" t="s">
        <v>11568</v>
      </c>
      <c r="AZ1025" s="3" t="s">
        <v>75</v>
      </c>
      <c r="BB1025" s="3" t="s">
        <v>11569</v>
      </c>
      <c r="BC1025" s="3" t="s">
        <v>11570</v>
      </c>
      <c r="BD1025" s="3" t="s">
        <v>11571</v>
      </c>
    </row>
    <row r="1026" spans="1:56" ht="44.25" customHeight="1" x14ac:dyDescent="0.25">
      <c r="A1026" s="7" t="s">
        <v>61</v>
      </c>
      <c r="B1026" s="2" t="s">
        <v>11572</v>
      </c>
      <c r="C1026" s="2" t="s">
        <v>11573</v>
      </c>
      <c r="D1026" s="2" t="s">
        <v>11574</v>
      </c>
      <c r="F1026" s="3" t="s">
        <v>61</v>
      </c>
      <c r="G1026" s="3" t="s">
        <v>60</v>
      </c>
      <c r="H1026" s="3" t="s">
        <v>61</v>
      </c>
      <c r="I1026" s="3" t="s">
        <v>61</v>
      </c>
      <c r="J1026" s="3" t="s">
        <v>62</v>
      </c>
      <c r="K1026" s="2" t="s">
        <v>6390</v>
      </c>
      <c r="L1026" s="2" t="s">
        <v>11575</v>
      </c>
      <c r="M1026" s="3" t="s">
        <v>796</v>
      </c>
      <c r="N1026" s="2" t="s">
        <v>634</v>
      </c>
      <c r="O1026" s="3" t="s">
        <v>114</v>
      </c>
      <c r="P1026" s="3" t="s">
        <v>235</v>
      </c>
      <c r="R1026" s="3" t="s">
        <v>68</v>
      </c>
      <c r="S1026" s="4">
        <v>2</v>
      </c>
      <c r="T1026" s="4">
        <v>2</v>
      </c>
      <c r="U1026" s="5" t="s">
        <v>11576</v>
      </c>
      <c r="V1026" s="5" t="s">
        <v>11576</v>
      </c>
      <c r="W1026" s="5" t="s">
        <v>11432</v>
      </c>
      <c r="X1026" s="5" t="s">
        <v>11432</v>
      </c>
      <c r="Y1026" s="4">
        <v>901</v>
      </c>
      <c r="Z1026" s="4">
        <v>807</v>
      </c>
      <c r="AA1026" s="4">
        <v>970</v>
      </c>
      <c r="AB1026" s="4">
        <v>5</v>
      </c>
      <c r="AC1026" s="4">
        <v>5</v>
      </c>
      <c r="AD1026" s="4">
        <v>38</v>
      </c>
      <c r="AE1026" s="4">
        <v>41</v>
      </c>
      <c r="AF1026" s="4">
        <v>16</v>
      </c>
      <c r="AG1026" s="4">
        <v>18</v>
      </c>
      <c r="AH1026" s="4">
        <v>9</v>
      </c>
      <c r="AI1026" s="4">
        <v>10</v>
      </c>
      <c r="AJ1026" s="4">
        <v>17</v>
      </c>
      <c r="AK1026" s="4">
        <v>19</v>
      </c>
      <c r="AL1026" s="4">
        <v>4</v>
      </c>
      <c r="AM1026" s="4">
        <v>4</v>
      </c>
      <c r="AN1026" s="4">
        <v>1</v>
      </c>
      <c r="AO1026" s="4">
        <v>1</v>
      </c>
      <c r="AP1026" s="3" t="s">
        <v>61</v>
      </c>
      <c r="AQ1026" s="3" t="s">
        <v>61</v>
      </c>
      <c r="AS1026" s="6" t="str">
        <f>HYPERLINK("https://creighton-primo.hosted.exlibrisgroup.com/primo-explore/search?tab=default_tab&amp;search_scope=EVERYTHING&amp;vid=01CRU&amp;lang=en_US&amp;offset=0&amp;query=any,contains,991001264579702656","Catalog Record")</f>
        <v>Catalog Record</v>
      </c>
      <c r="AT1026" s="6" t="str">
        <f>HYPERLINK("http://www.worldcat.org/oclc/17803505","WorldCat Record")</f>
        <v>WorldCat Record</v>
      </c>
      <c r="AU1026" s="3" t="s">
        <v>11577</v>
      </c>
      <c r="AV1026" s="3" t="s">
        <v>11578</v>
      </c>
      <c r="AW1026" s="3" t="s">
        <v>11579</v>
      </c>
      <c r="AX1026" s="3" t="s">
        <v>11579</v>
      </c>
      <c r="AY1026" s="3" t="s">
        <v>11580</v>
      </c>
      <c r="AZ1026" s="3" t="s">
        <v>75</v>
      </c>
      <c r="BB1026" s="3" t="s">
        <v>11581</v>
      </c>
      <c r="BC1026" s="3" t="s">
        <v>11582</v>
      </c>
      <c r="BD1026" s="3" t="s">
        <v>11583</v>
      </c>
    </row>
    <row r="1027" spans="1:56" ht="44.25" customHeight="1" x14ac:dyDescent="0.25">
      <c r="A1027" s="7" t="s">
        <v>61</v>
      </c>
      <c r="B1027" s="2" t="s">
        <v>11584</v>
      </c>
      <c r="C1027" s="2" t="s">
        <v>11585</v>
      </c>
      <c r="D1027" s="2" t="s">
        <v>11586</v>
      </c>
      <c r="F1027" s="3" t="s">
        <v>61</v>
      </c>
      <c r="G1027" s="3" t="s">
        <v>60</v>
      </c>
      <c r="H1027" s="3" t="s">
        <v>61</v>
      </c>
      <c r="I1027" s="3" t="s">
        <v>61</v>
      </c>
      <c r="J1027" s="3" t="s">
        <v>62</v>
      </c>
      <c r="K1027" s="2" t="s">
        <v>11587</v>
      </c>
      <c r="L1027" s="2" t="s">
        <v>11588</v>
      </c>
      <c r="M1027" s="3" t="s">
        <v>436</v>
      </c>
      <c r="O1027" s="3" t="s">
        <v>114</v>
      </c>
      <c r="P1027" s="3" t="s">
        <v>235</v>
      </c>
      <c r="R1027" s="3" t="s">
        <v>68</v>
      </c>
      <c r="S1027" s="4">
        <v>7</v>
      </c>
      <c r="T1027" s="4">
        <v>7</v>
      </c>
      <c r="U1027" s="5" t="s">
        <v>11589</v>
      </c>
      <c r="V1027" s="5" t="s">
        <v>11589</v>
      </c>
      <c r="W1027" s="5" t="s">
        <v>11590</v>
      </c>
      <c r="X1027" s="5" t="s">
        <v>11590</v>
      </c>
      <c r="Y1027" s="4">
        <v>1162</v>
      </c>
      <c r="Z1027" s="4">
        <v>1087</v>
      </c>
      <c r="AA1027" s="4">
        <v>1161</v>
      </c>
      <c r="AB1027" s="4">
        <v>5</v>
      </c>
      <c r="AC1027" s="4">
        <v>6</v>
      </c>
      <c r="AD1027" s="4">
        <v>29</v>
      </c>
      <c r="AE1027" s="4">
        <v>30</v>
      </c>
      <c r="AF1027" s="4">
        <v>9</v>
      </c>
      <c r="AG1027" s="4">
        <v>9</v>
      </c>
      <c r="AH1027" s="4">
        <v>7</v>
      </c>
      <c r="AI1027" s="4">
        <v>7</v>
      </c>
      <c r="AJ1027" s="4">
        <v>14</v>
      </c>
      <c r="AK1027" s="4">
        <v>14</v>
      </c>
      <c r="AL1027" s="4">
        <v>4</v>
      </c>
      <c r="AM1027" s="4">
        <v>5</v>
      </c>
      <c r="AN1027" s="4">
        <v>1</v>
      </c>
      <c r="AO1027" s="4">
        <v>1</v>
      </c>
      <c r="AP1027" s="3" t="s">
        <v>61</v>
      </c>
      <c r="AQ1027" s="3" t="s">
        <v>59</v>
      </c>
      <c r="AR1027" s="6" t="str">
        <f>HYPERLINK("http://catalog.hathitrust.org/Record/001956362","HathiTrust Record")</f>
        <v>HathiTrust Record</v>
      </c>
      <c r="AS1027" s="6" t="str">
        <f>HYPERLINK("https://creighton-primo.hosted.exlibrisgroup.com/primo-explore/search?tab=default_tab&amp;search_scope=EVERYTHING&amp;vid=01CRU&amp;lang=en_US&amp;offset=0&amp;query=any,contains,991001639359702656","Catalog Record")</f>
        <v>Catalog Record</v>
      </c>
      <c r="AT1027" s="6" t="str">
        <f>HYPERLINK("http://www.worldcat.org/oclc/20996465","WorldCat Record")</f>
        <v>WorldCat Record</v>
      </c>
      <c r="AU1027" s="3" t="s">
        <v>11591</v>
      </c>
      <c r="AV1027" s="3" t="s">
        <v>11592</v>
      </c>
      <c r="AW1027" s="3" t="s">
        <v>11593</v>
      </c>
      <c r="AX1027" s="3" t="s">
        <v>11593</v>
      </c>
      <c r="AY1027" s="3" t="s">
        <v>11594</v>
      </c>
      <c r="AZ1027" s="3" t="s">
        <v>75</v>
      </c>
      <c r="BB1027" s="3" t="s">
        <v>11595</v>
      </c>
      <c r="BC1027" s="3" t="s">
        <v>11596</v>
      </c>
      <c r="BD1027" s="3" t="s">
        <v>11597</v>
      </c>
    </row>
    <row r="1028" spans="1:56" ht="44.25" customHeight="1" x14ac:dyDescent="0.25">
      <c r="A1028" s="7" t="s">
        <v>61</v>
      </c>
      <c r="B1028" s="2" t="s">
        <v>11598</v>
      </c>
      <c r="C1028" s="2" t="s">
        <v>11599</v>
      </c>
      <c r="D1028" s="2" t="s">
        <v>11600</v>
      </c>
      <c r="F1028" s="3" t="s">
        <v>61</v>
      </c>
      <c r="G1028" s="3" t="s">
        <v>60</v>
      </c>
      <c r="H1028" s="3" t="s">
        <v>61</v>
      </c>
      <c r="I1028" s="3" t="s">
        <v>61</v>
      </c>
      <c r="J1028" s="3" t="s">
        <v>62</v>
      </c>
      <c r="K1028" s="2" t="s">
        <v>11601</v>
      </c>
      <c r="L1028" s="2" t="s">
        <v>11602</v>
      </c>
      <c r="M1028" s="3" t="s">
        <v>552</v>
      </c>
      <c r="O1028" s="3" t="s">
        <v>114</v>
      </c>
      <c r="P1028" s="3" t="s">
        <v>235</v>
      </c>
      <c r="R1028" s="3" t="s">
        <v>68</v>
      </c>
      <c r="S1028" s="4">
        <v>7</v>
      </c>
      <c r="T1028" s="4">
        <v>7</v>
      </c>
      <c r="U1028" s="5" t="s">
        <v>11603</v>
      </c>
      <c r="V1028" s="5" t="s">
        <v>11603</v>
      </c>
      <c r="W1028" s="5" t="s">
        <v>11604</v>
      </c>
      <c r="X1028" s="5" t="s">
        <v>11604</v>
      </c>
      <c r="Y1028" s="4">
        <v>344</v>
      </c>
      <c r="Z1028" s="4">
        <v>316</v>
      </c>
      <c r="AA1028" s="4">
        <v>360</v>
      </c>
      <c r="AB1028" s="4">
        <v>4</v>
      </c>
      <c r="AC1028" s="4">
        <v>4</v>
      </c>
      <c r="AD1028" s="4">
        <v>10</v>
      </c>
      <c r="AE1028" s="4">
        <v>10</v>
      </c>
      <c r="AF1028" s="4">
        <v>4</v>
      </c>
      <c r="AG1028" s="4">
        <v>4</v>
      </c>
      <c r="AH1028" s="4">
        <v>2</v>
      </c>
      <c r="AI1028" s="4">
        <v>2</v>
      </c>
      <c r="AJ1028" s="4">
        <v>6</v>
      </c>
      <c r="AK1028" s="4">
        <v>6</v>
      </c>
      <c r="AL1028" s="4">
        <v>2</v>
      </c>
      <c r="AM1028" s="4">
        <v>2</v>
      </c>
      <c r="AN1028" s="4">
        <v>0</v>
      </c>
      <c r="AO1028" s="4">
        <v>0</v>
      </c>
      <c r="AP1028" s="3" t="s">
        <v>61</v>
      </c>
      <c r="AQ1028" s="3" t="s">
        <v>59</v>
      </c>
      <c r="AR1028" s="6" t="str">
        <f>HYPERLINK("http://catalog.hathitrust.org/Record/001830766","HathiTrust Record")</f>
        <v>HathiTrust Record</v>
      </c>
      <c r="AS1028" s="6" t="str">
        <f>HYPERLINK("https://creighton-primo.hosted.exlibrisgroup.com/primo-explore/search?tab=default_tab&amp;search_scope=EVERYTHING&amp;vid=01CRU&amp;lang=en_US&amp;offset=0&amp;query=any,contains,991001364969702656","Catalog Record")</f>
        <v>Catalog Record</v>
      </c>
      <c r="AT1028" s="6" t="str">
        <f>HYPERLINK("http://www.worldcat.org/oclc/18557656","WorldCat Record")</f>
        <v>WorldCat Record</v>
      </c>
      <c r="AU1028" s="3" t="s">
        <v>11605</v>
      </c>
      <c r="AV1028" s="3" t="s">
        <v>11606</v>
      </c>
      <c r="AW1028" s="3" t="s">
        <v>11607</v>
      </c>
      <c r="AX1028" s="3" t="s">
        <v>11607</v>
      </c>
      <c r="AY1028" s="3" t="s">
        <v>11608</v>
      </c>
      <c r="AZ1028" s="3" t="s">
        <v>75</v>
      </c>
      <c r="BB1028" s="3" t="s">
        <v>11609</v>
      </c>
      <c r="BC1028" s="3" t="s">
        <v>11610</v>
      </c>
      <c r="BD1028" s="3" t="s">
        <v>11611</v>
      </c>
    </row>
    <row r="1029" spans="1:56" ht="44.25" customHeight="1" x14ac:dyDescent="0.25">
      <c r="A1029" s="7" t="s">
        <v>61</v>
      </c>
      <c r="B1029" s="2" t="s">
        <v>11612</v>
      </c>
      <c r="C1029" s="2" t="s">
        <v>11613</v>
      </c>
      <c r="D1029" s="2" t="s">
        <v>11614</v>
      </c>
      <c r="F1029" s="3" t="s">
        <v>61</v>
      </c>
      <c r="G1029" s="3" t="s">
        <v>60</v>
      </c>
      <c r="H1029" s="3" t="s">
        <v>61</v>
      </c>
      <c r="I1029" s="3" t="s">
        <v>61</v>
      </c>
      <c r="J1029" s="3" t="s">
        <v>62</v>
      </c>
      <c r="K1029" s="2" t="s">
        <v>11615</v>
      </c>
      <c r="L1029" s="2" t="s">
        <v>11616</v>
      </c>
      <c r="M1029" s="3" t="s">
        <v>605</v>
      </c>
      <c r="O1029" s="3" t="s">
        <v>114</v>
      </c>
      <c r="P1029" s="3" t="s">
        <v>235</v>
      </c>
      <c r="Q1029" s="2" t="s">
        <v>1128</v>
      </c>
      <c r="R1029" s="3" t="s">
        <v>68</v>
      </c>
      <c r="S1029" s="4">
        <v>8</v>
      </c>
      <c r="T1029" s="4">
        <v>8</v>
      </c>
      <c r="U1029" s="5" t="s">
        <v>11617</v>
      </c>
      <c r="V1029" s="5" t="s">
        <v>11617</v>
      </c>
      <c r="W1029" s="5" t="s">
        <v>11618</v>
      </c>
      <c r="X1029" s="5" t="s">
        <v>11618</v>
      </c>
      <c r="Y1029" s="4">
        <v>955</v>
      </c>
      <c r="Z1029" s="4">
        <v>803</v>
      </c>
      <c r="AA1029" s="4">
        <v>807</v>
      </c>
      <c r="AB1029" s="4">
        <v>7</v>
      </c>
      <c r="AC1029" s="4">
        <v>7</v>
      </c>
      <c r="AD1029" s="4">
        <v>41</v>
      </c>
      <c r="AE1029" s="4">
        <v>41</v>
      </c>
      <c r="AF1029" s="4">
        <v>17</v>
      </c>
      <c r="AG1029" s="4">
        <v>17</v>
      </c>
      <c r="AH1029" s="4">
        <v>8</v>
      </c>
      <c r="AI1029" s="4">
        <v>8</v>
      </c>
      <c r="AJ1029" s="4">
        <v>18</v>
      </c>
      <c r="AK1029" s="4">
        <v>18</v>
      </c>
      <c r="AL1029" s="4">
        <v>6</v>
      </c>
      <c r="AM1029" s="4">
        <v>6</v>
      </c>
      <c r="AN1029" s="4">
        <v>1</v>
      </c>
      <c r="AO1029" s="4">
        <v>1</v>
      </c>
      <c r="AP1029" s="3" t="s">
        <v>61</v>
      </c>
      <c r="AQ1029" s="3" t="s">
        <v>61</v>
      </c>
      <c r="AS1029" s="6" t="str">
        <f>HYPERLINK("https://creighton-primo.hosted.exlibrisgroup.com/primo-explore/search?tab=default_tab&amp;search_scope=EVERYTHING&amp;vid=01CRU&amp;lang=en_US&amp;offset=0&amp;query=any,contains,991002065579702656","Catalog Record")</f>
        <v>Catalog Record</v>
      </c>
      <c r="AT1029" s="6" t="str">
        <f>HYPERLINK("http://www.worldcat.org/oclc/26402928","WorldCat Record")</f>
        <v>WorldCat Record</v>
      </c>
      <c r="AU1029" s="3" t="s">
        <v>11619</v>
      </c>
      <c r="AV1029" s="3" t="s">
        <v>11620</v>
      </c>
      <c r="AW1029" s="3" t="s">
        <v>11621</v>
      </c>
      <c r="AX1029" s="3" t="s">
        <v>11621</v>
      </c>
      <c r="AY1029" s="3" t="s">
        <v>11622</v>
      </c>
      <c r="AZ1029" s="3" t="s">
        <v>75</v>
      </c>
      <c r="BB1029" s="3" t="s">
        <v>11623</v>
      </c>
      <c r="BC1029" s="3" t="s">
        <v>11624</v>
      </c>
      <c r="BD1029" s="3" t="s">
        <v>11625</v>
      </c>
    </row>
    <row r="1030" spans="1:56" ht="44.25" customHeight="1" x14ac:dyDescent="0.25">
      <c r="A1030" s="7" t="s">
        <v>61</v>
      </c>
      <c r="B1030" s="2" t="s">
        <v>11626</v>
      </c>
      <c r="C1030" s="2" t="s">
        <v>11627</v>
      </c>
      <c r="D1030" s="2" t="s">
        <v>11628</v>
      </c>
      <c r="F1030" s="3" t="s">
        <v>61</v>
      </c>
      <c r="G1030" s="3" t="s">
        <v>60</v>
      </c>
      <c r="H1030" s="3" t="s">
        <v>61</v>
      </c>
      <c r="I1030" s="3" t="s">
        <v>61</v>
      </c>
      <c r="J1030" s="3" t="s">
        <v>62</v>
      </c>
      <c r="L1030" s="2" t="s">
        <v>11629</v>
      </c>
      <c r="M1030" s="3" t="s">
        <v>249</v>
      </c>
      <c r="O1030" s="3" t="s">
        <v>114</v>
      </c>
      <c r="P1030" s="3" t="s">
        <v>9949</v>
      </c>
      <c r="R1030" s="3" t="s">
        <v>68</v>
      </c>
      <c r="S1030" s="4">
        <v>7</v>
      </c>
      <c r="T1030" s="4">
        <v>7</v>
      </c>
      <c r="U1030" s="5" t="s">
        <v>11630</v>
      </c>
      <c r="V1030" s="5" t="s">
        <v>11630</v>
      </c>
      <c r="W1030" s="5" t="s">
        <v>7896</v>
      </c>
      <c r="X1030" s="5" t="s">
        <v>7896</v>
      </c>
      <c r="Y1030" s="4">
        <v>360</v>
      </c>
      <c r="Z1030" s="4">
        <v>231</v>
      </c>
      <c r="AA1030" s="4">
        <v>232</v>
      </c>
      <c r="AB1030" s="4">
        <v>4</v>
      </c>
      <c r="AC1030" s="4">
        <v>4</v>
      </c>
      <c r="AD1030" s="4">
        <v>15</v>
      </c>
      <c r="AE1030" s="4">
        <v>15</v>
      </c>
      <c r="AF1030" s="4">
        <v>5</v>
      </c>
      <c r="AG1030" s="4">
        <v>5</v>
      </c>
      <c r="AH1030" s="4">
        <v>2</v>
      </c>
      <c r="AI1030" s="4">
        <v>2</v>
      </c>
      <c r="AJ1030" s="4">
        <v>8</v>
      </c>
      <c r="AK1030" s="4">
        <v>8</v>
      </c>
      <c r="AL1030" s="4">
        <v>3</v>
      </c>
      <c r="AM1030" s="4">
        <v>3</v>
      </c>
      <c r="AN1030" s="4">
        <v>0</v>
      </c>
      <c r="AO1030" s="4">
        <v>0</v>
      </c>
      <c r="AP1030" s="3" t="s">
        <v>61</v>
      </c>
      <c r="AQ1030" s="3" t="s">
        <v>59</v>
      </c>
      <c r="AR1030" s="6" t="str">
        <f>HYPERLINK("http://catalog.hathitrust.org/Record/002652132","HathiTrust Record")</f>
        <v>HathiTrust Record</v>
      </c>
      <c r="AS1030" s="6" t="str">
        <f>HYPERLINK("https://creighton-primo.hosted.exlibrisgroup.com/primo-explore/search?tab=default_tab&amp;search_scope=EVERYTHING&amp;vid=01CRU&amp;lang=en_US&amp;offset=0&amp;query=any,contains,991001971319702656","Catalog Record")</f>
        <v>Catalog Record</v>
      </c>
      <c r="AT1030" s="6" t="str">
        <f>HYPERLINK("http://www.worldcat.org/oclc/25009271","WorldCat Record")</f>
        <v>WorldCat Record</v>
      </c>
      <c r="AU1030" s="3" t="s">
        <v>11631</v>
      </c>
      <c r="AV1030" s="3" t="s">
        <v>11632</v>
      </c>
      <c r="AW1030" s="3" t="s">
        <v>11633</v>
      </c>
      <c r="AX1030" s="3" t="s">
        <v>11633</v>
      </c>
      <c r="AY1030" s="3" t="s">
        <v>11634</v>
      </c>
      <c r="AZ1030" s="3" t="s">
        <v>75</v>
      </c>
      <c r="BB1030" s="3" t="s">
        <v>11635</v>
      </c>
      <c r="BC1030" s="3" t="s">
        <v>11636</v>
      </c>
      <c r="BD1030" s="3" t="s">
        <v>11637</v>
      </c>
    </row>
    <row r="1031" spans="1:56" ht="44.25" customHeight="1" x14ac:dyDescent="0.25">
      <c r="A1031" s="7" t="s">
        <v>61</v>
      </c>
      <c r="B1031" s="2" t="s">
        <v>11638</v>
      </c>
      <c r="C1031" s="2" t="s">
        <v>11639</v>
      </c>
      <c r="D1031" s="2" t="s">
        <v>11640</v>
      </c>
      <c r="F1031" s="3" t="s">
        <v>61</v>
      </c>
      <c r="G1031" s="3" t="s">
        <v>60</v>
      </c>
      <c r="H1031" s="3" t="s">
        <v>61</v>
      </c>
      <c r="I1031" s="3" t="s">
        <v>61</v>
      </c>
      <c r="J1031" s="3" t="s">
        <v>62</v>
      </c>
      <c r="K1031" s="2" t="s">
        <v>11641</v>
      </c>
      <c r="L1031" s="2" t="s">
        <v>11642</v>
      </c>
      <c r="M1031" s="3" t="s">
        <v>379</v>
      </c>
      <c r="O1031" s="3" t="s">
        <v>114</v>
      </c>
      <c r="P1031" s="3" t="s">
        <v>1439</v>
      </c>
      <c r="R1031" s="3" t="s">
        <v>68</v>
      </c>
      <c r="S1031" s="4">
        <v>2</v>
      </c>
      <c r="T1031" s="4">
        <v>2</v>
      </c>
      <c r="U1031" s="5" t="s">
        <v>11643</v>
      </c>
      <c r="V1031" s="5" t="s">
        <v>11643</v>
      </c>
      <c r="W1031" s="5" t="s">
        <v>11644</v>
      </c>
      <c r="X1031" s="5" t="s">
        <v>11644</v>
      </c>
      <c r="Y1031" s="4">
        <v>64</v>
      </c>
      <c r="Z1031" s="4">
        <v>64</v>
      </c>
      <c r="AA1031" s="4">
        <v>64</v>
      </c>
      <c r="AB1031" s="4">
        <v>1</v>
      </c>
      <c r="AC1031" s="4">
        <v>1</v>
      </c>
      <c r="AD1031" s="4">
        <v>16</v>
      </c>
      <c r="AE1031" s="4">
        <v>16</v>
      </c>
      <c r="AF1031" s="4">
        <v>8</v>
      </c>
      <c r="AG1031" s="4">
        <v>8</v>
      </c>
      <c r="AH1031" s="4">
        <v>3</v>
      </c>
      <c r="AI1031" s="4">
        <v>3</v>
      </c>
      <c r="AJ1031" s="4">
        <v>13</v>
      </c>
      <c r="AK1031" s="4">
        <v>13</v>
      </c>
      <c r="AL1031" s="4">
        <v>0</v>
      </c>
      <c r="AM1031" s="4">
        <v>0</v>
      </c>
      <c r="AN1031" s="4">
        <v>0</v>
      </c>
      <c r="AO1031" s="4">
        <v>0</v>
      </c>
      <c r="AP1031" s="3" t="s">
        <v>61</v>
      </c>
      <c r="AQ1031" s="3" t="s">
        <v>61</v>
      </c>
      <c r="AS1031" s="6" t="str">
        <f>HYPERLINK("https://creighton-primo.hosted.exlibrisgroup.com/primo-explore/search?tab=default_tab&amp;search_scope=EVERYTHING&amp;vid=01CRU&amp;lang=en_US&amp;offset=0&amp;query=any,contains,991003788839702656","Catalog Record")</f>
        <v>Catalog Record</v>
      </c>
      <c r="AT1031" s="6" t="str">
        <f>HYPERLINK("http://www.worldcat.org/oclc/49599827","WorldCat Record")</f>
        <v>WorldCat Record</v>
      </c>
      <c r="AU1031" s="3" t="s">
        <v>11645</v>
      </c>
      <c r="AV1031" s="3" t="s">
        <v>11646</v>
      </c>
      <c r="AW1031" s="3" t="s">
        <v>11647</v>
      </c>
      <c r="AX1031" s="3" t="s">
        <v>11647</v>
      </c>
      <c r="AY1031" s="3" t="s">
        <v>11648</v>
      </c>
      <c r="AZ1031" s="3" t="s">
        <v>75</v>
      </c>
      <c r="BC1031" s="3" t="s">
        <v>11649</v>
      </c>
      <c r="BD1031" s="3" t="s">
        <v>11650</v>
      </c>
    </row>
    <row r="1032" spans="1:56" ht="44.25" customHeight="1" x14ac:dyDescent="0.25">
      <c r="A1032" s="7" t="s">
        <v>61</v>
      </c>
      <c r="B1032" s="2" t="s">
        <v>11651</v>
      </c>
      <c r="C1032" s="2" t="s">
        <v>11652</v>
      </c>
      <c r="D1032" s="2" t="s">
        <v>11653</v>
      </c>
      <c r="F1032" s="3" t="s">
        <v>61</v>
      </c>
      <c r="G1032" s="3" t="s">
        <v>60</v>
      </c>
      <c r="H1032" s="3" t="s">
        <v>61</v>
      </c>
      <c r="I1032" s="3" t="s">
        <v>61</v>
      </c>
      <c r="J1032" s="3" t="s">
        <v>62</v>
      </c>
      <c r="K1032" s="2" t="s">
        <v>11654</v>
      </c>
      <c r="L1032" s="2" t="s">
        <v>11655</v>
      </c>
      <c r="M1032" s="3" t="s">
        <v>9342</v>
      </c>
      <c r="O1032" s="3" t="s">
        <v>114</v>
      </c>
      <c r="P1032" s="3" t="s">
        <v>1439</v>
      </c>
      <c r="R1032" s="3" t="s">
        <v>68</v>
      </c>
      <c r="S1032" s="4">
        <v>1</v>
      </c>
      <c r="T1032" s="4">
        <v>1</v>
      </c>
      <c r="U1032" s="5" t="s">
        <v>11656</v>
      </c>
      <c r="V1032" s="5" t="s">
        <v>11656</v>
      </c>
      <c r="W1032" s="5" t="s">
        <v>11656</v>
      </c>
      <c r="X1032" s="5" t="s">
        <v>11656</v>
      </c>
      <c r="Y1032" s="4">
        <v>117</v>
      </c>
      <c r="Z1032" s="4">
        <v>116</v>
      </c>
      <c r="AA1032" s="4">
        <v>117</v>
      </c>
      <c r="AB1032" s="4">
        <v>1</v>
      </c>
      <c r="AC1032" s="4">
        <v>1</v>
      </c>
      <c r="AD1032" s="4">
        <v>21</v>
      </c>
      <c r="AE1032" s="4">
        <v>21</v>
      </c>
      <c r="AF1032" s="4">
        <v>6</v>
      </c>
      <c r="AG1032" s="4">
        <v>6</v>
      </c>
      <c r="AH1032" s="4">
        <v>5</v>
      </c>
      <c r="AI1032" s="4">
        <v>5</v>
      </c>
      <c r="AJ1032" s="4">
        <v>17</v>
      </c>
      <c r="AK1032" s="4">
        <v>17</v>
      </c>
      <c r="AL1032" s="4">
        <v>0</v>
      </c>
      <c r="AM1032" s="4">
        <v>0</v>
      </c>
      <c r="AN1032" s="4">
        <v>0</v>
      </c>
      <c r="AO1032" s="4">
        <v>0</v>
      </c>
      <c r="AP1032" s="3" t="s">
        <v>61</v>
      </c>
      <c r="AQ1032" s="3" t="s">
        <v>61</v>
      </c>
      <c r="AS1032" s="6" t="str">
        <f>HYPERLINK("https://creighton-primo.hosted.exlibrisgroup.com/primo-explore/search?tab=default_tab&amp;search_scope=EVERYTHING&amp;vid=01CRU&amp;lang=en_US&amp;offset=0&amp;query=any,contains,991004599359702656","Catalog Record")</f>
        <v>Catalog Record</v>
      </c>
      <c r="AT1032" s="6" t="str">
        <f>HYPERLINK("http://www.worldcat.org/oclc/60746858","WorldCat Record")</f>
        <v>WorldCat Record</v>
      </c>
      <c r="AU1032" s="3" t="s">
        <v>11657</v>
      </c>
      <c r="AV1032" s="3" t="s">
        <v>11658</v>
      </c>
      <c r="AW1032" s="3" t="s">
        <v>11659</v>
      </c>
      <c r="AX1032" s="3" t="s">
        <v>11659</v>
      </c>
      <c r="AY1032" s="3" t="s">
        <v>11660</v>
      </c>
      <c r="AZ1032" s="3" t="s">
        <v>75</v>
      </c>
      <c r="BC1032" s="3" t="s">
        <v>11661</v>
      </c>
      <c r="BD1032" s="3" t="s">
        <v>11662</v>
      </c>
    </row>
    <row r="1033" spans="1:56" ht="44.25" customHeight="1" x14ac:dyDescent="0.25">
      <c r="A1033" s="7" t="s">
        <v>61</v>
      </c>
      <c r="B1033" s="2" t="s">
        <v>11663</v>
      </c>
      <c r="C1033" s="2" t="s">
        <v>11664</v>
      </c>
      <c r="D1033" s="2" t="s">
        <v>11665</v>
      </c>
      <c r="F1033" s="3" t="s">
        <v>61</v>
      </c>
      <c r="G1033" s="3" t="s">
        <v>60</v>
      </c>
      <c r="H1033" s="3" t="s">
        <v>61</v>
      </c>
      <c r="I1033" s="3" t="s">
        <v>61</v>
      </c>
      <c r="J1033" s="3" t="s">
        <v>62</v>
      </c>
      <c r="K1033" s="2" t="s">
        <v>11666</v>
      </c>
      <c r="L1033" s="2" t="s">
        <v>11667</v>
      </c>
      <c r="M1033" s="3" t="s">
        <v>2391</v>
      </c>
      <c r="N1033" s="2" t="s">
        <v>4614</v>
      </c>
      <c r="O1033" s="3" t="s">
        <v>114</v>
      </c>
      <c r="P1033" s="3" t="s">
        <v>235</v>
      </c>
      <c r="R1033" s="3" t="s">
        <v>68</v>
      </c>
      <c r="S1033" s="4">
        <v>2</v>
      </c>
      <c r="T1033" s="4">
        <v>2</v>
      </c>
      <c r="U1033" s="5" t="s">
        <v>10014</v>
      </c>
      <c r="V1033" s="5" t="s">
        <v>10014</v>
      </c>
      <c r="W1033" s="5" t="s">
        <v>10014</v>
      </c>
      <c r="X1033" s="5" t="s">
        <v>10014</v>
      </c>
      <c r="Y1033" s="4">
        <v>593</v>
      </c>
      <c r="Z1033" s="4">
        <v>555</v>
      </c>
      <c r="AA1033" s="4">
        <v>607</v>
      </c>
      <c r="AB1033" s="4">
        <v>7</v>
      </c>
      <c r="AC1033" s="4">
        <v>7</v>
      </c>
      <c r="AD1033" s="4">
        <v>20</v>
      </c>
      <c r="AE1033" s="4">
        <v>22</v>
      </c>
      <c r="AF1033" s="4">
        <v>7</v>
      </c>
      <c r="AG1033" s="4">
        <v>8</v>
      </c>
      <c r="AH1033" s="4">
        <v>5</v>
      </c>
      <c r="AI1033" s="4">
        <v>6</v>
      </c>
      <c r="AJ1033" s="4">
        <v>9</v>
      </c>
      <c r="AK1033" s="4">
        <v>9</v>
      </c>
      <c r="AL1033" s="4">
        <v>4</v>
      </c>
      <c r="AM1033" s="4">
        <v>4</v>
      </c>
      <c r="AN1033" s="4">
        <v>1</v>
      </c>
      <c r="AO1033" s="4">
        <v>1</v>
      </c>
      <c r="AP1033" s="3" t="s">
        <v>61</v>
      </c>
      <c r="AQ1033" s="3" t="s">
        <v>61</v>
      </c>
      <c r="AS1033" s="6" t="str">
        <f>HYPERLINK("https://creighton-primo.hosted.exlibrisgroup.com/primo-explore/search?tab=default_tab&amp;search_scope=EVERYTHING&amp;vid=01CRU&amp;lang=en_US&amp;offset=0&amp;query=any,contains,991003966789702656","Catalog Record")</f>
        <v>Catalog Record</v>
      </c>
      <c r="AT1033" s="6" t="str">
        <f>HYPERLINK("http://www.worldcat.org/oclc/45750338","WorldCat Record")</f>
        <v>WorldCat Record</v>
      </c>
      <c r="AU1033" s="3" t="s">
        <v>11668</v>
      </c>
      <c r="AV1033" s="3" t="s">
        <v>11669</v>
      </c>
      <c r="AW1033" s="3" t="s">
        <v>11670</v>
      </c>
      <c r="AX1033" s="3" t="s">
        <v>11670</v>
      </c>
      <c r="AY1033" s="3" t="s">
        <v>11671</v>
      </c>
      <c r="AZ1033" s="3" t="s">
        <v>75</v>
      </c>
      <c r="BB1033" s="3" t="s">
        <v>11672</v>
      </c>
      <c r="BC1033" s="3" t="s">
        <v>11673</v>
      </c>
      <c r="BD1033" s="3" t="s">
        <v>11674</v>
      </c>
    </row>
    <row r="1034" spans="1:56" ht="44.25" customHeight="1" x14ac:dyDescent="0.25">
      <c r="A1034" s="7" t="s">
        <v>61</v>
      </c>
      <c r="B1034" s="2" t="s">
        <v>11675</v>
      </c>
      <c r="C1034" s="2" t="s">
        <v>11676</v>
      </c>
      <c r="D1034" s="2" t="s">
        <v>11677</v>
      </c>
      <c r="F1034" s="3" t="s">
        <v>61</v>
      </c>
      <c r="G1034" s="3" t="s">
        <v>60</v>
      </c>
      <c r="H1034" s="3" t="s">
        <v>61</v>
      </c>
      <c r="I1034" s="3" t="s">
        <v>61</v>
      </c>
      <c r="J1034" s="3" t="s">
        <v>62</v>
      </c>
      <c r="K1034" s="2" t="s">
        <v>11678</v>
      </c>
      <c r="L1034" s="2" t="s">
        <v>11679</v>
      </c>
      <c r="M1034" s="3" t="s">
        <v>2323</v>
      </c>
      <c r="O1034" s="3" t="s">
        <v>114</v>
      </c>
      <c r="P1034" s="3" t="s">
        <v>235</v>
      </c>
      <c r="R1034" s="3" t="s">
        <v>68</v>
      </c>
      <c r="S1034" s="4">
        <v>1</v>
      </c>
      <c r="T1034" s="4">
        <v>1</v>
      </c>
      <c r="U1034" s="5" t="s">
        <v>5276</v>
      </c>
      <c r="V1034" s="5" t="s">
        <v>5276</v>
      </c>
      <c r="W1034" s="5" t="s">
        <v>5276</v>
      </c>
      <c r="X1034" s="5" t="s">
        <v>5276</v>
      </c>
      <c r="Y1034" s="4">
        <v>532</v>
      </c>
      <c r="Z1034" s="4">
        <v>450</v>
      </c>
      <c r="AA1034" s="4">
        <v>1287</v>
      </c>
      <c r="AB1034" s="4">
        <v>3</v>
      </c>
      <c r="AC1034" s="4">
        <v>28</v>
      </c>
      <c r="AD1034" s="4">
        <v>22</v>
      </c>
      <c r="AE1034" s="4">
        <v>49</v>
      </c>
      <c r="AF1034" s="4">
        <v>9</v>
      </c>
      <c r="AG1034" s="4">
        <v>17</v>
      </c>
      <c r="AH1034" s="4">
        <v>6</v>
      </c>
      <c r="AI1034" s="4">
        <v>10</v>
      </c>
      <c r="AJ1034" s="4">
        <v>10</v>
      </c>
      <c r="AK1034" s="4">
        <v>16</v>
      </c>
      <c r="AL1034" s="4">
        <v>2</v>
      </c>
      <c r="AM1034" s="4">
        <v>13</v>
      </c>
      <c r="AN1034" s="4">
        <v>0</v>
      </c>
      <c r="AO1034" s="4">
        <v>1</v>
      </c>
      <c r="AP1034" s="3" t="s">
        <v>61</v>
      </c>
      <c r="AQ1034" s="3" t="s">
        <v>61</v>
      </c>
      <c r="AS1034" s="6" t="str">
        <f>HYPERLINK("https://creighton-primo.hosted.exlibrisgroup.com/primo-explore/search?tab=default_tab&amp;search_scope=EVERYTHING&amp;vid=01CRU&amp;lang=en_US&amp;offset=0&amp;query=any,contains,991004248649702656","Catalog Record")</f>
        <v>Catalog Record</v>
      </c>
      <c r="AT1034" s="6" t="str">
        <f>HYPERLINK("http://www.worldcat.org/oclc/51984900","WorldCat Record")</f>
        <v>WorldCat Record</v>
      </c>
      <c r="AU1034" s="3" t="s">
        <v>11680</v>
      </c>
      <c r="AV1034" s="3" t="s">
        <v>11681</v>
      </c>
      <c r="AW1034" s="3" t="s">
        <v>11682</v>
      </c>
      <c r="AX1034" s="3" t="s">
        <v>11682</v>
      </c>
      <c r="AY1034" s="3" t="s">
        <v>11683</v>
      </c>
      <c r="AZ1034" s="3" t="s">
        <v>75</v>
      </c>
      <c r="BB1034" s="3" t="s">
        <v>11684</v>
      </c>
      <c r="BC1034" s="3" t="s">
        <v>11685</v>
      </c>
      <c r="BD1034" s="3" t="s">
        <v>11686</v>
      </c>
    </row>
    <row r="1035" spans="1:56" ht="44.25" customHeight="1" x14ac:dyDescent="0.25">
      <c r="A1035" s="7" t="s">
        <v>61</v>
      </c>
      <c r="B1035" s="2" t="s">
        <v>11687</v>
      </c>
      <c r="C1035" s="2" t="s">
        <v>11688</v>
      </c>
      <c r="D1035" s="2" t="s">
        <v>11689</v>
      </c>
      <c r="F1035" s="3" t="s">
        <v>61</v>
      </c>
      <c r="G1035" s="3" t="s">
        <v>60</v>
      </c>
      <c r="H1035" s="3" t="s">
        <v>61</v>
      </c>
      <c r="I1035" s="3" t="s">
        <v>61</v>
      </c>
      <c r="J1035" s="3" t="s">
        <v>62</v>
      </c>
      <c r="K1035" s="2" t="s">
        <v>11690</v>
      </c>
      <c r="L1035" s="2" t="s">
        <v>11691</v>
      </c>
      <c r="M1035" s="3" t="s">
        <v>422</v>
      </c>
      <c r="N1035" s="2" t="s">
        <v>634</v>
      </c>
      <c r="O1035" s="3" t="s">
        <v>114</v>
      </c>
      <c r="P1035" s="3" t="s">
        <v>235</v>
      </c>
      <c r="R1035" s="3" t="s">
        <v>68</v>
      </c>
      <c r="S1035" s="4">
        <v>0</v>
      </c>
      <c r="T1035" s="4">
        <v>0</v>
      </c>
      <c r="U1035" s="5" t="s">
        <v>2622</v>
      </c>
      <c r="V1035" s="5" t="s">
        <v>2622</v>
      </c>
      <c r="W1035" s="5" t="s">
        <v>11692</v>
      </c>
      <c r="X1035" s="5" t="s">
        <v>11692</v>
      </c>
      <c r="Y1035" s="4">
        <v>1262</v>
      </c>
      <c r="Z1035" s="4">
        <v>1154</v>
      </c>
      <c r="AA1035" s="4">
        <v>1230</v>
      </c>
      <c r="AB1035" s="4">
        <v>11</v>
      </c>
      <c r="AC1035" s="4">
        <v>12</v>
      </c>
      <c r="AD1035" s="4">
        <v>34</v>
      </c>
      <c r="AE1035" s="4">
        <v>38</v>
      </c>
      <c r="AF1035" s="4">
        <v>10</v>
      </c>
      <c r="AG1035" s="4">
        <v>13</v>
      </c>
      <c r="AH1035" s="4">
        <v>9</v>
      </c>
      <c r="AI1035" s="4">
        <v>9</v>
      </c>
      <c r="AJ1035" s="4">
        <v>19</v>
      </c>
      <c r="AK1035" s="4">
        <v>19</v>
      </c>
      <c r="AL1035" s="4">
        <v>5</v>
      </c>
      <c r="AM1035" s="4">
        <v>6</v>
      </c>
      <c r="AN1035" s="4">
        <v>0</v>
      </c>
      <c r="AO1035" s="4">
        <v>0</v>
      </c>
      <c r="AP1035" s="3" t="s">
        <v>61</v>
      </c>
      <c r="AQ1035" s="3" t="s">
        <v>61</v>
      </c>
      <c r="AS1035" s="6" t="str">
        <f>HYPERLINK("https://creighton-primo.hosted.exlibrisgroup.com/primo-explore/search?tab=default_tab&amp;search_scope=EVERYTHING&amp;vid=01CRU&amp;lang=en_US&amp;offset=0&amp;query=any,contains,991002940699702656","Catalog Record")</f>
        <v>Catalog Record</v>
      </c>
      <c r="AT1035" s="6" t="str">
        <f>HYPERLINK("http://www.worldcat.org/oclc/39130693","WorldCat Record")</f>
        <v>WorldCat Record</v>
      </c>
      <c r="AU1035" s="3" t="s">
        <v>11693</v>
      </c>
      <c r="AV1035" s="3" t="s">
        <v>11694</v>
      </c>
      <c r="AW1035" s="3" t="s">
        <v>11695</v>
      </c>
      <c r="AX1035" s="3" t="s">
        <v>11695</v>
      </c>
      <c r="AY1035" s="3" t="s">
        <v>11696</v>
      </c>
      <c r="AZ1035" s="3" t="s">
        <v>75</v>
      </c>
      <c r="BB1035" s="3" t="s">
        <v>11697</v>
      </c>
      <c r="BC1035" s="3" t="s">
        <v>11698</v>
      </c>
      <c r="BD1035" s="3" t="s">
        <v>11699</v>
      </c>
    </row>
    <row r="1036" spans="1:56" ht="44.25" customHeight="1" x14ac:dyDescent="0.25">
      <c r="A1036" s="7" t="s">
        <v>61</v>
      </c>
      <c r="B1036" s="2" t="s">
        <v>11700</v>
      </c>
      <c r="C1036" s="2" t="s">
        <v>11701</v>
      </c>
      <c r="D1036" s="2" t="s">
        <v>11702</v>
      </c>
      <c r="F1036" s="3" t="s">
        <v>61</v>
      </c>
      <c r="G1036" s="3" t="s">
        <v>60</v>
      </c>
      <c r="H1036" s="3" t="s">
        <v>61</v>
      </c>
      <c r="I1036" s="3" t="s">
        <v>61</v>
      </c>
      <c r="J1036" s="3" t="s">
        <v>62</v>
      </c>
      <c r="K1036" s="2" t="s">
        <v>11535</v>
      </c>
      <c r="L1036" s="2" t="s">
        <v>11703</v>
      </c>
      <c r="M1036" s="3" t="s">
        <v>422</v>
      </c>
      <c r="N1036" s="2" t="s">
        <v>634</v>
      </c>
      <c r="O1036" s="3" t="s">
        <v>114</v>
      </c>
      <c r="P1036" s="3" t="s">
        <v>235</v>
      </c>
      <c r="R1036" s="3" t="s">
        <v>68</v>
      </c>
      <c r="S1036" s="4">
        <v>4</v>
      </c>
      <c r="T1036" s="4">
        <v>4</v>
      </c>
      <c r="U1036" s="5" t="s">
        <v>11704</v>
      </c>
      <c r="V1036" s="5" t="s">
        <v>11704</v>
      </c>
      <c r="W1036" s="5" t="s">
        <v>3491</v>
      </c>
      <c r="X1036" s="5" t="s">
        <v>3491</v>
      </c>
      <c r="Y1036" s="4">
        <v>461</v>
      </c>
      <c r="Z1036" s="4">
        <v>401</v>
      </c>
      <c r="AA1036" s="4">
        <v>529</v>
      </c>
      <c r="AB1036" s="4">
        <v>5</v>
      </c>
      <c r="AC1036" s="4">
        <v>5</v>
      </c>
      <c r="AD1036" s="4">
        <v>20</v>
      </c>
      <c r="AE1036" s="4">
        <v>29</v>
      </c>
      <c r="AF1036" s="4">
        <v>5</v>
      </c>
      <c r="AG1036" s="4">
        <v>9</v>
      </c>
      <c r="AH1036" s="4">
        <v>6</v>
      </c>
      <c r="AI1036" s="4">
        <v>7</v>
      </c>
      <c r="AJ1036" s="4">
        <v>9</v>
      </c>
      <c r="AK1036" s="4">
        <v>17</v>
      </c>
      <c r="AL1036" s="4">
        <v>3</v>
      </c>
      <c r="AM1036" s="4">
        <v>3</v>
      </c>
      <c r="AN1036" s="4">
        <v>0</v>
      </c>
      <c r="AO1036" s="4">
        <v>0</v>
      </c>
      <c r="AP1036" s="3" t="s">
        <v>61</v>
      </c>
      <c r="AQ1036" s="3" t="s">
        <v>61</v>
      </c>
      <c r="AS1036" s="6" t="str">
        <f>HYPERLINK("https://creighton-primo.hosted.exlibrisgroup.com/primo-explore/search?tab=default_tab&amp;search_scope=EVERYTHING&amp;vid=01CRU&amp;lang=en_US&amp;offset=0&amp;query=any,contains,991002866419702656","Catalog Record")</f>
        <v>Catalog Record</v>
      </c>
      <c r="AT1036" s="6" t="str">
        <f>HYPERLINK("http://www.worldcat.org/oclc/37783049","WorldCat Record")</f>
        <v>WorldCat Record</v>
      </c>
      <c r="AU1036" s="3" t="s">
        <v>11705</v>
      </c>
      <c r="AV1036" s="3" t="s">
        <v>11706</v>
      </c>
      <c r="AW1036" s="3" t="s">
        <v>11707</v>
      </c>
      <c r="AX1036" s="3" t="s">
        <v>11707</v>
      </c>
      <c r="AY1036" s="3" t="s">
        <v>11708</v>
      </c>
      <c r="AZ1036" s="3" t="s">
        <v>75</v>
      </c>
      <c r="BB1036" s="3" t="s">
        <v>11709</v>
      </c>
      <c r="BC1036" s="3" t="s">
        <v>11710</v>
      </c>
      <c r="BD1036" s="3" t="s">
        <v>11711</v>
      </c>
    </row>
    <row r="1037" spans="1:56" ht="44.25" customHeight="1" x14ac:dyDescent="0.25">
      <c r="A1037" s="7" t="s">
        <v>61</v>
      </c>
      <c r="B1037" s="2" t="s">
        <v>11712</v>
      </c>
      <c r="C1037" s="2" t="s">
        <v>11713</v>
      </c>
      <c r="D1037" s="2" t="s">
        <v>11714</v>
      </c>
      <c r="F1037" s="3" t="s">
        <v>61</v>
      </c>
      <c r="G1037" s="3" t="s">
        <v>60</v>
      </c>
      <c r="H1037" s="3" t="s">
        <v>61</v>
      </c>
      <c r="I1037" s="3" t="s">
        <v>61</v>
      </c>
      <c r="J1037" s="3" t="s">
        <v>62</v>
      </c>
      <c r="K1037" s="2" t="s">
        <v>11715</v>
      </c>
      <c r="L1037" s="2" t="s">
        <v>11716</v>
      </c>
      <c r="M1037" s="3" t="s">
        <v>1758</v>
      </c>
      <c r="N1037" s="2" t="s">
        <v>11717</v>
      </c>
      <c r="O1037" s="3" t="s">
        <v>114</v>
      </c>
      <c r="P1037" s="3" t="s">
        <v>11718</v>
      </c>
      <c r="R1037" s="3" t="s">
        <v>68</v>
      </c>
      <c r="S1037" s="4">
        <v>2</v>
      </c>
      <c r="T1037" s="4">
        <v>2</v>
      </c>
      <c r="U1037" s="5" t="s">
        <v>11250</v>
      </c>
      <c r="V1037" s="5" t="s">
        <v>11250</v>
      </c>
      <c r="W1037" s="5" t="s">
        <v>11432</v>
      </c>
      <c r="X1037" s="5" t="s">
        <v>11432</v>
      </c>
      <c r="Y1037" s="4">
        <v>251</v>
      </c>
      <c r="Z1037" s="4">
        <v>213</v>
      </c>
      <c r="AA1037" s="4">
        <v>293</v>
      </c>
      <c r="AB1037" s="4">
        <v>3</v>
      </c>
      <c r="AC1037" s="4">
        <v>3</v>
      </c>
      <c r="AD1037" s="4">
        <v>11</v>
      </c>
      <c r="AE1037" s="4">
        <v>13</v>
      </c>
      <c r="AF1037" s="4">
        <v>2</v>
      </c>
      <c r="AG1037" s="4">
        <v>3</v>
      </c>
      <c r="AH1037" s="4">
        <v>2</v>
      </c>
      <c r="AI1037" s="4">
        <v>3</v>
      </c>
      <c r="AJ1037" s="4">
        <v>6</v>
      </c>
      <c r="AK1037" s="4">
        <v>7</v>
      </c>
      <c r="AL1037" s="4">
        <v>2</v>
      </c>
      <c r="AM1037" s="4">
        <v>2</v>
      </c>
      <c r="AN1037" s="4">
        <v>1</v>
      </c>
      <c r="AO1037" s="4">
        <v>1</v>
      </c>
      <c r="AP1037" s="3" t="s">
        <v>61</v>
      </c>
      <c r="AQ1037" s="3" t="s">
        <v>59</v>
      </c>
      <c r="AR1037" s="6" t="str">
        <f>HYPERLINK("http://catalog.hathitrust.org/Record/007560186","HathiTrust Record")</f>
        <v>HathiTrust Record</v>
      </c>
      <c r="AS1037" s="6" t="str">
        <f>HYPERLINK("https://creighton-primo.hosted.exlibrisgroup.com/primo-explore/search?tab=default_tab&amp;search_scope=EVERYTHING&amp;vid=01CRU&amp;lang=en_US&amp;offset=0&amp;query=any,contains,991005224539702656","Catalog Record")</f>
        <v>Catalog Record</v>
      </c>
      <c r="AT1037" s="6" t="str">
        <f>HYPERLINK("http://www.worldcat.org/oclc/8276012","WorldCat Record")</f>
        <v>WorldCat Record</v>
      </c>
      <c r="AU1037" s="3" t="s">
        <v>11719</v>
      </c>
      <c r="AV1037" s="3" t="s">
        <v>11720</v>
      </c>
      <c r="AW1037" s="3" t="s">
        <v>11721</v>
      </c>
      <c r="AX1037" s="3" t="s">
        <v>11721</v>
      </c>
      <c r="AY1037" s="3" t="s">
        <v>11722</v>
      </c>
      <c r="AZ1037" s="3" t="s">
        <v>75</v>
      </c>
      <c r="BC1037" s="3" t="s">
        <v>11723</v>
      </c>
      <c r="BD1037" s="3" t="s">
        <v>11724</v>
      </c>
    </row>
    <row r="1038" spans="1:56" ht="44.25" customHeight="1" x14ac:dyDescent="0.25">
      <c r="A1038" s="7" t="s">
        <v>61</v>
      </c>
      <c r="B1038" s="2" t="s">
        <v>11725</v>
      </c>
      <c r="C1038" s="2" t="s">
        <v>11726</v>
      </c>
      <c r="D1038" s="2" t="s">
        <v>11727</v>
      </c>
      <c r="F1038" s="3" t="s">
        <v>61</v>
      </c>
      <c r="G1038" s="3" t="s">
        <v>60</v>
      </c>
      <c r="H1038" s="3" t="s">
        <v>61</v>
      </c>
      <c r="I1038" s="3" t="s">
        <v>61</v>
      </c>
      <c r="J1038" s="3" t="s">
        <v>62</v>
      </c>
      <c r="K1038" s="2" t="s">
        <v>11728</v>
      </c>
      <c r="L1038" s="2" t="s">
        <v>11729</v>
      </c>
      <c r="M1038" s="3" t="s">
        <v>7375</v>
      </c>
      <c r="O1038" s="3" t="s">
        <v>114</v>
      </c>
      <c r="P1038" s="3" t="s">
        <v>160</v>
      </c>
      <c r="R1038" s="3" t="s">
        <v>68</v>
      </c>
      <c r="S1038" s="4">
        <v>8</v>
      </c>
      <c r="T1038" s="4">
        <v>8</v>
      </c>
      <c r="U1038" s="5" t="s">
        <v>11730</v>
      </c>
      <c r="V1038" s="5" t="s">
        <v>11730</v>
      </c>
      <c r="W1038" s="5" t="s">
        <v>5368</v>
      </c>
      <c r="X1038" s="5" t="s">
        <v>5368</v>
      </c>
      <c r="Y1038" s="4">
        <v>174</v>
      </c>
      <c r="Z1038" s="4">
        <v>169</v>
      </c>
      <c r="AA1038" s="4">
        <v>172</v>
      </c>
      <c r="AB1038" s="4">
        <v>2</v>
      </c>
      <c r="AC1038" s="4">
        <v>2</v>
      </c>
      <c r="AD1038" s="4">
        <v>11</v>
      </c>
      <c r="AE1038" s="4">
        <v>11</v>
      </c>
      <c r="AF1038" s="4">
        <v>2</v>
      </c>
      <c r="AG1038" s="4">
        <v>2</v>
      </c>
      <c r="AH1038" s="4">
        <v>3</v>
      </c>
      <c r="AI1038" s="4">
        <v>3</v>
      </c>
      <c r="AJ1038" s="4">
        <v>5</v>
      </c>
      <c r="AK1038" s="4">
        <v>5</v>
      </c>
      <c r="AL1038" s="4">
        <v>1</v>
      </c>
      <c r="AM1038" s="4">
        <v>1</v>
      </c>
      <c r="AN1038" s="4">
        <v>2</v>
      </c>
      <c r="AO1038" s="4">
        <v>2</v>
      </c>
      <c r="AP1038" s="3" t="s">
        <v>61</v>
      </c>
      <c r="AQ1038" s="3" t="s">
        <v>59</v>
      </c>
      <c r="AR1038" s="6" t="str">
        <f>HYPERLINK("http://catalog.hathitrust.org/Record/007474155","HathiTrust Record")</f>
        <v>HathiTrust Record</v>
      </c>
      <c r="AS1038" s="6" t="str">
        <f>HYPERLINK("https://creighton-primo.hosted.exlibrisgroup.com/primo-explore/search?tab=default_tab&amp;search_scope=EVERYTHING&amp;vid=01CRU&amp;lang=en_US&amp;offset=0&amp;query=any,contains,991003708419702656","Catalog Record")</f>
        <v>Catalog Record</v>
      </c>
      <c r="AT1038" s="6" t="str">
        <f>HYPERLINK("http://www.worldcat.org/oclc/40414270","WorldCat Record")</f>
        <v>WorldCat Record</v>
      </c>
      <c r="AU1038" s="3" t="s">
        <v>11731</v>
      </c>
      <c r="AV1038" s="3" t="s">
        <v>11732</v>
      </c>
      <c r="AW1038" s="3" t="s">
        <v>11733</v>
      </c>
      <c r="AX1038" s="3" t="s">
        <v>11733</v>
      </c>
      <c r="AY1038" s="3" t="s">
        <v>11734</v>
      </c>
      <c r="AZ1038" s="3" t="s">
        <v>75</v>
      </c>
      <c r="BC1038" s="3" t="s">
        <v>11735</v>
      </c>
      <c r="BD1038" s="3" t="s">
        <v>11736</v>
      </c>
    </row>
    <row r="1039" spans="1:56" ht="44.25" customHeight="1" x14ac:dyDescent="0.25">
      <c r="A1039" s="7" t="s">
        <v>61</v>
      </c>
      <c r="B1039" s="2" t="s">
        <v>11737</v>
      </c>
      <c r="C1039" s="2" t="s">
        <v>11738</v>
      </c>
      <c r="D1039" s="2" t="s">
        <v>11739</v>
      </c>
      <c r="F1039" s="3" t="s">
        <v>61</v>
      </c>
      <c r="G1039" s="3" t="s">
        <v>60</v>
      </c>
      <c r="H1039" s="3" t="s">
        <v>61</v>
      </c>
      <c r="I1039" s="3" t="s">
        <v>61</v>
      </c>
      <c r="J1039" s="3" t="s">
        <v>62</v>
      </c>
      <c r="K1039" s="2" t="s">
        <v>11740</v>
      </c>
      <c r="L1039" s="2" t="s">
        <v>11741</v>
      </c>
      <c r="M1039" s="3" t="s">
        <v>4337</v>
      </c>
      <c r="O1039" s="3" t="s">
        <v>114</v>
      </c>
      <c r="P1039" s="3" t="s">
        <v>160</v>
      </c>
      <c r="R1039" s="3" t="s">
        <v>68</v>
      </c>
      <c r="S1039" s="4">
        <v>4</v>
      </c>
      <c r="T1039" s="4">
        <v>4</v>
      </c>
      <c r="U1039" s="5" t="s">
        <v>11742</v>
      </c>
      <c r="V1039" s="5" t="s">
        <v>11742</v>
      </c>
      <c r="W1039" s="5" t="s">
        <v>5368</v>
      </c>
      <c r="X1039" s="5" t="s">
        <v>5368</v>
      </c>
      <c r="Y1039" s="4">
        <v>357</v>
      </c>
      <c r="Z1039" s="4">
        <v>314</v>
      </c>
      <c r="AA1039" s="4">
        <v>333</v>
      </c>
      <c r="AB1039" s="4">
        <v>5</v>
      </c>
      <c r="AC1039" s="4">
        <v>5</v>
      </c>
      <c r="AD1039" s="4">
        <v>21</v>
      </c>
      <c r="AE1039" s="4">
        <v>23</v>
      </c>
      <c r="AF1039" s="4">
        <v>3</v>
      </c>
      <c r="AG1039" s="4">
        <v>4</v>
      </c>
      <c r="AH1039" s="4">
        <v>3</v>
      </c>
      <c r="AI1039" s="4">
        <v>3</v>
      </c>
      <c r="AJ1039" s="4">
        <v>9</v>
      </c>
      <c r="AK1039" s="4">
        <v>9</v>
      </c>
      <c r="AL1039" s="4">
        <v>4</v>
      </c>
      <c r="AM1039" s="4">
        <v>4</v>
      </c>
      <c r="AN1039" s="4">
        <v>6</v>
      </c>
      <c r="AO1039" s="4">
        <v>7</v>
      </c>
      <c r="AP1039" s="3" t="s">
        <v>61</v>
      </c>
      <c r="AQ1039" s="3" t="s">
        <v>61</v>
      </c>
      <c r="AR1039" s="6" t="str">
        <f>HYPERLINK("http://catalog.hathitrust.org/Record/000594942","HathiTrust Record")</f>
        <v>HathiTrust Record</v>
      </c>
      <c r="AS1039" s="6" t="str">
        <f>HYPERLINK("https://creighton-primo.hosted.exlibrisgroup.com/primo-explore/search?tab=default_tab&amp;search_scope=EVERYTHING&amp;vid=01CRU&amp;lang=en_US&amp;offset=0&amp;query=any,contains,991002668439702656","Catalog Record")</f>
        <v>Catalog Record</v>
      </c>
      <c r="AT1039" s="6" t="str">
        <f>HYPERLINK("http://www.worldcat.org/oclc/394320","WorldCat Record")</f>
        <v>WorldCat Record</v>
      </c>
      <c r="AU1039" s="3" t="s">
        <v>11743</v>
      </c>
      <c r="AV1039" s="3" t="s">
        <v>11744</v>
      </c>
      <c r="AW1039" s="3" t="s">
        <v>11745</v>
      </c>
      <c r="AX1039" s="3" t="s">
        <v>11745</v>
      </c>
      <c r="AY1039" s="3" t="s">
        <v>11746</v>
      </c>
      <c r="AZ1039" s="3" t="s">
        <v>75</v>
      </c>
      <c r="BC1039" s="3" t="s">
        <v>11747</v>
      </c>
      <c r="BD1039" s="3" t="s">
        <v>11748</v>
      </c>
    </row>
    <row r="1040" spans="1:56" ht="44.25" customHeight="1" x14ac:dyDescent="0.25">
      <c r="A1040" s="7" t="s">
        <v>61</v>
      </c>
      <c r="B1040" s="2" t="s">
        <v>11749</v>
      </c>
      <c r="C1040" s="2" t="s">
        <v>11750</v>
      </c>
      <c r="D1040" s="2" t="s">
        <v>11751</v>
      </c>
      <c r="F1040" s="3" t="s">
        <v>61</v>
      </c>
      <c r="G1040" s="3" t="s">
        <v>60</v>
      </c>
      <c r="H1040" s="3" t="s">
        <v>61</v>
      </c>
      <c r="I1040" s="3" t="s">
        <v>61</v>
      </c>
      <c r="J1040" s="3" t="s">
        <v>62</v>
      </c>
      <c r="K1040" s="2" t="s">
        <v>11752</v>
      </c>
      <c r="L1040" s="2" t="s">
        <v>11753</v>
      </c>
      <c r="M1040" s="3" t="s">
        <v>9342</v>
      </c>
      <c r="N1040" s="2" t="s">
        <v>679</v>
      </c>
      <c r="O1040" s="3" t="s">
        <v>114</v>
      </c>
      <c r="P1040" s="3" t="s">
        <v>235</v>
      </c>
      <c r="R1040" s="3" t="s">
        <v>68</v>
      </c>
      <c r="S1040" s="4">
        <v>1</v>
      </c>
      <c r="T1040" s="4">
        <v>1</v>
      </c>
      <c r="U1040" s="5" t="s">
        <v>11754</v>
      </c>
      <c r="V1040" s="5" t="s">
        <v>11754</v>
      </c>
      <c r="W1040" s="5" t="s">
        <v>11754</v>
      </c>
      <c r="X1040" s="5" t="s">
        <v>11754</v>
      </c>
      <c r="Y1040" s="4">
        <v>737</v>
      </c>
      <c r="Z1040" s="4">
        <v>697</v>
      </c>
      <c r="AA1040" s="4">
        <v>763</v>
      </c>
      <c r="AB1040" s="4">
        <v>6</v>
      </c>
      <c r="AC1040" s="4">
        <v>6</v>
      </c>
      <c r="AD1040" s="4">
        <v>16</v>
      </c>
      <c r="AE1040" s="4">
        <v>19</v>
      </c>
      <c r="AF1040" s="4">
        <v>5</v>
      </c>
      <c r="AG1040" s="4">
        <v>5</v>
      </c>
      <c r="AH1040" s="4">
        <v>5</v>
      </c>
      <c r="AI1040" s="4">
        <v>7</v>
      </c>
      <c r="AJ1040" s="4">
        <v>5</v>
      </c>
      <c r="AK1040" s="4">
        <v>8</v>
      </c>
      <c r="AL1040" s="4">
        <v>4</v>
      </c>
      <c r="AM1040" s="4">
        <v>4</v>
      </c>
      <c r="AN1040" s="4">
        <v>0</v>
      </c>
      <c r="AO1040" s="4">
        <v>0</v>
      </c>
      <c r="AP1040" s="3" t="s">
        <v>61</v>
      </c>
      <c r="AQ1040" s="3" t="s">
        <v>59</v>
      </c>
      <c r="AR1040" s="6" t="str">
        <f>HYPERLINK("http://catalog.hathitrust.org/Record/005118836","HathiTrust Record")</f>
        <v>HathiTrust Record</v>
      </c>
      <c r="AS1040" s="6" t="str">
        <f>HYPERLINK("https://creighton-primo.hosted.exlibrisgroup.com/primo-explore/search?tab=default_tab&amp;search_scope=EVERYTHING&amp;vid=01CRU&amp;lang=en_US&amp;offset=0&amp;query=any,contains,991004693819702656","Catalog Record")</f>
        <v>Catalog Record</v>
      </c>
      <c r="AT1040" s="6" t="str">
        <f>HYPERLINK("http://www.worldcat.org/oclc/58788893","WorldCat Record")</f>
        <v>WorldCat Record</v>
      </c>
      <c r="AU1040" s="3" t="s">
        <v>11755</v>
      </c>
      <c r="AV1040" s="3" t="s">
        <v>11756</v>
      </c>
      <c r="AW1040" s="3" t="s">
        <v>11757</v>
      </c>
      <c r="AX1040" s="3" t="s">
        <v>11757</v>
      </c>
      <c r="AY1040" s="3" t="s">
        <v>11758</v>
      </c>
      <c r="AZ1040" s="3" t="s">
        <v>75</v>
      </c>
      <c r="BB1040" s="3" t="s">
        <v>11759</v>
      </c>
      <c r="BC1040" s="3" t="s">
        <v>11760</v>
      </c>
      <c r="BD1040" s="3" t="s">
        <v>11761</v>
      </c>
    </row>
    <row r="1041" spans="1:56" ht="44.25" customHeight="1" x14ac:dyDescent="0.25">
      <c r="A1041" s="7" t="s">
        <v>61</v>
      </c>
      <c r="B1041" s="2" t="s">
        <v>11762</v>
      </c>
      <c r="C1041" s="2" t="s">
        <v>11763</v>
      </c>
      <c r="D1041" s="2" t="s">
        <v>11764</v>
      </c>
      <c r="F1041" s="3" t="s">
        <v>61</v>
      </c>
      <c r="G1041" s="3" t="s">
        <v>60</v>
      </c>
      <c r="H1041" s="3" t="s">
        <v>61</v>
      </c>
      <c r="I1041" s="3" t="s">
        <v>61</v>
      </c>
      <c r="J1041" s="3" t="s">
        <v>62</v>
      </c>
      <c r="K1041" s="2" t="s">
        <v>11765</v>
      </c>
      <c r="L1041" s="2" t="s">
        <v>11186</v>
      </c>
      <c r="M1041" s="3" t="s">
        <v>1074</v>
      </c>
      <c r="O1041" s="3" t="s">
        <v>114</v>
      </c>
      <c r="P1041" s="3" t="s">
        <v>235</v>
      </c>
      <c r="R1041" s="3" t="s">
        <v>68</v>
      </c>
      <c r="S1041" s="4">
        <v>31</v>
      </c>
      <c r="T1041" s="4">
        <v>31</v>
      </c>
      <c r="U1041" s="5" t="s">
        <v>1787</v>
      </c>
      <c r="V1041" s="5" t="s">
        <v>1787</v>
      </c>
      <c r="W1041" s="5" t="s">
        <v>886</v>
      </c>
      <c r="X1041" s="5" t="s">
        <v>886</v>
      </c>
      <c r="Y1041" s="4">
        <v>1494</v>
      </c>
      <c r="Z1041" s="4">
        <v>1368</v>
      </c>
      <c r="AA1041" s="4">
        <v>1451</v>
      </c>
      <c r="AB1041" s="4">
        <v>9</v>
      </c>
      <c r="AC1041" s="4">
        <v>9</v>
      </c>
      <c r="AD1041" s="4">
        <v>40</v>
      </c>
      <c r="AE1041" s="4">
        <v>43</v>
      </c>
      <c r="AF1041" s="4">
        <v>17</v>
      </c>
      <c r="AG1041" s="4">
        <v>20</v>
      </c>
      <c r="AH1041" s="4">
        <v>8</v>
      </c>
      <c r="AI1041" s="4">
        <v>9</v>
      </c>
      <c r="AJ1041" s="4">
        <v>18</v>
      </c>
      <c r="AK1041" s="4">
        <v>18</v>
      </c>
      <c r="AL1041" s="4">
        <v>7</v>
      </c>
      <c r="AM1041" s="4">
        <v>7</v>
      </c>
      <c r="AN1041" s="4">
        <v>0</v>
      </c>
      <c r="AO1041" s="4">
        <v>0</v>
      </c>
      <c r="AP1041" s="3" t="s">
        <v>61</v>
      </c>
      <c r="AQ1041" s="3" t="s">
        <v>59</v>
      </c>
      <c r="AR1041" s="6" t="str">
        <f>HYPERLINK("http://catalog.hathitrust.org/Record/000562718","HathiTrust Record")</f>
        <v>HathiTrust Record</v>
      </c>
      <c r="AS1041" s="6" t="str">
        <f>HYPERLINK("https://creighton-primo.hosted.exlibrisgroup.com/primo-explore/search?tab=default_tab&amp;search_scope=EVERYTHING&amp;vid=01CRU&amp;lang=en_US&amp;offset=0&amp;query=any,contains,991000558359702656","Catalog Record")</f>
        <v>Catalog Record</v>
      </c>
      <c r="AT1041" s="6" t="str">
        <f>HYPERLINK("http://www.worldcat.org/oclc/11573783","WorldCat Record")</f>
        <v>WorldCat Record</v>
      </c>
      <c r="AU1041" s="3" t="s">
        <v>11766</v>
      </c>
      <c r="AV1041" s="3" t="s">
        <v>11767</v>
      </c>
      <c r="AW1041" s="3" t="s">
        <v>11768</v>
      </c>
      <c r="AX1041" s="3" t="s">
        <v>11768</v>
      </c>
      <c r="AY1041" s="3" t="s">
        <v>11769</v>
      </c>
      <c r="AZ1041" s="3" t="s">
        <v>75</v>
      </c>
      <c r="BB1041" s="3" t="s">
        <v>11770</v>
      </c>
      <c r="BC1041" s="3" t="s">
        <v>11771</v>
      </c>
      <c r="BD1041" s="3" t="s">
        <v>11772</v>
      </c>
    </row>
    <row r="1042" spans="1:56" ht="44.25" customHeight="1" x14ac:dyDescent="0.25">
      <c r="A1042" s="7" t="s">
        <v>61</v>
      </c>
      <c r="B1042" s="2" t="s">
        <v>11773</v>
      </c>
      <c r="C1042" s="2" t="s">
        <v>11774</v>
      </c>
      <c r="D1042" s="2" t="s">
        <v>11775</v>
      </c>
      <c r="F1042" s="3" t="s">
        <v>61</v>
      </c>
      <c r="G1042" s="3" t="s">
        <v>60</v>
      </c>
      <c r="H1042" s="3" t="s">
        <v>61</v>
      </c>
      <c r="I1042" s="3" t="s">
        <v>61</v>
      </c>
      <c r="J1042" s="3" t="s">
        <v>62</v>
      </c>
      <c r="K1042" s="2" t="s">
        <v>11776</v>
      </c>
      <c r="L1042" s="2" t="s">
        <v>11777</v>
      </c>
      <c r="M1042" s="3" t="s">
        <v>1376</v>
      </c>
      <c r="O1042" s="3" t="s">
        <v>114</v>
      </c>
      <c r="P1042" s="3" t="s">
        <v>6597</v>
      </c>
      <c r="R1042" s="3" t="s">
        <v>68</v>
      </c>
      <c r="S1042" s="4">
        <v>16</v>
      </c>
      <c r="T1042" s="4">
        <v>16</v>
      </c>
      <c r="U1042" s="5" t="s">
        <v>11778</v>
      </c>
      <c r="V1042" s="5" t="s">
        <v>11778</v>
      </c>
      <c r="W1042" s="5" t="s">
        <v>11779</v>
      </c>
      <c r="X1042" s="5" t="s">
        <v>11779</v>
      </c>
      <c r="Y1042" s="4">
        <v>129</v>
      </c>
      <c r="Z1042" s="4">
        <v>129</v>
      </c>
      <c r="AA1042" s="4">
        <v>131</v>
      </c>
      <c r="AB1042" s="4">
        <v>3</v>
      </c>
      <c r="AC1042" s="4">
        <v>3</v>
      </c>
      <c r="AD1042" s="4">
        <v>6</v>
      </c>
      <c r="AE1042" s="4">
        <v>6</v>
      </c>
      <c r="AF1042" s="4">
        <v>0</v>
      </c>
      <c r="AG1042" s="4">
        <v>0</v>
      </c>
      <c r="AH1042" s="4">
        <v>1</v>
      </c>
      <c r="AI1042" s="4">
        <v>1</v>
      </c>
      <c r="AJ1042" s="4">
        <v>3</v>
      </c>
      <c r="AK1042" s="4">
        <v>3</v>
      </c>
      <c r="AL1042" s="4">
        <v>2</v>
      </c>
      <c r="AM1042" s="4">
        <v>2</v>
      </c>
      <c r="AN1042" s="4">
        <v>0</v>
      </c>
      <c r="AO1042" s="4">
        <v>0</v>
      </c>
      <c r="AP1042" s="3" t="s">
        <v>61</v>
      </c>
      <c r="AQ1042" s="3" t="s">
        <v>59</v>
      </c>
      <c r="AR1042" s="6" t="str">
        <f>HYPERLINK("http://catalog.hathitrust.org/Record/000596547","HathiTrust Record")</f>
        <v>HathiTrust Record</v>
      </c>
      <c r="AS1042" s="6" t="str">
        <f>HYPERLINK("https://creighton-primo.hosted.exlibrisgroup.com/primo-explore/search?tab=default_tab&amp;search_scope=EVERYTHING&amp;vid=01CRU&amp;lang=en_US&amp;offset=0&amp;query=any,contains,991000006289702656","Catalog Record")</f>
        <v>Catalog Record</v>
      </c>
      <c r="AT1042" s="6" t="str">
        <f>HYPERLINK("http://www.worldcat.org/oclc/13461","WorldCat Record")</f>
        <v>WorldCat Record</v>
      </c>
      <c r="AU1042" s="3" t="s">
        <v>11780</v>
      </c>
      <c r="AV1042" s="3" t="s">
        <v>11781</v>
      </c>
      <c r="AW1042" s="3" t="s">
        <v>11782</v>
      </c>
      <c r="AX1042" s="3" t="s">
        <v>11782</v>
      </c>
      <c r="AY1042" s="3" t="s">
        <v>11783</v>
      </c>
      <c r="AZ1042" s="3" t="s">
        <v>75</v>
      </c>
      <c r="BC1042" s="3" t="s">
        <v>11784</v>
      </c>
      <c r="BD1042" s="3" t="s">
        <v>11785</v>
      </c>
    </row>
    <row r="1043" spans="1:56" ht="44.25" customHeight="1" x14ac:dyDescent="0.25">
      <c r="A1043" s="7" t="s">
        <v>61</v>
      </c>
      <c r="B1043" s="2" t="s">
        <v>11786</v>
      </c>
      <c r="C1043" s="2" t="s">
        <v>11787</v>
      </c>
      <c r="D1043" s="2" t="s">
        <v>11788</v>
      </c>
      <c r="F1043" s="3" t="s">
        <v>61</v>
      </c>
      <c r="G1043" s="3" t="s">
        <v>60</v>
      </c>
      <c r="H1043" s="3" t="s">
        <v>61</v>
      </c>
      <c r="I1043" s="3" t="s">
        <v>61</v>
      </c>
      <c r="J1043" s="3" t="s">
        <v>62</v>
      </c>
      <c r="K1043" s="2" t="s">
        <v>11789</v>
      </c>
      <c r="L1043" s="2" t="s">
        <v>11790</v>
      </c>
      <c r="M1043" s="3" t="s">
        <v>796</v>
      </c>
      <c r="O1043" s="3" t="s">
        <v>114</v>
      </c>
      <c r="P1043" s="3" t="s">
        <v>192</v>
      </c>
      <c r="R1043" s="3" t="s">
        <v>68</v>
      </c>
      <c r="S1043" s="4">
        <v>9</v>
      </c>
      <c r="T1043" s="4">
        <v>9</v>
      </c>
      <c r="U1043" s="5" t="s">
        <v>10187</v>
      </c>
      <c r="V1043" s="5" t="s">
        <v>10187</v>
      </c>
      <c r="W1043" s="5" t="s">
        <v>11791</v>
      </c>
      <c r="X1043" s="5" t="s">
        <v>11791</v>
      </c>
      <c r="Y1043" s="4">
        <v>199</v>
      </c>
      <c r="Z1043" s="4">
        <v>128</v>
      </c>
      <c r="AA1043" s="4">
        <v>143</v>
      </c>
      <c r="AB1043" s="4">
        <v>3</v>
      </c>
      <c r="AC1043" s="4">
        <v>3</v>
      </c>
      <c r="AD1043" s="4">
        <v>8</v>
      </c>
      <c r="AE1043" s="4">
        <v>9</v>
      </c>
      <c r="AF1043" s="4">
        <v>3</v>
      </c>
      <c r="AG1043" s="4">
        <v>3</v>
      </c>
      <c r="AH1043" s="4">
        <v>1</v>
      </c>
      <c r="AI1043" s="4">
        <v>2</v>
      </c>
      <c r="AJ1043" s="4">
        <v>2</v>
      </c>
      <c r="AK1043" s="4">
        <v>3</v>
      </c>
      <c r="AL1043" s="4">
        <v>2</v>
      </c>
      <c r="AM1043" s="4">
        <v>2</v>
      </c>
      <c r="AN1043" s="4">
        <v>0</v>
      </c>
      <c r="AO1043" s="4">
        <v>0</v>
      </c>
      <c r="AP1043" s="3" t="s">
        <v>61</v>
      </c>
      <c r="AQ1043" s="3" t="s">
        <v>59</v>
      </c>
      <c r="AR1043" s="6" t="str">
        <f>HYPERLINK("http://catalog.hathitrust.org/Record/001092777","HathiTrust Record")</f>
        <v>HathiTrust Record</v>
      </c>
      <c r="AS1043" s="6" t="str">
        <f>HYPERLINK("https://creighton-primo.hosted.exlibrisgroup.com/primo-explore/search?tab=default_tab&amp;search_scope=EVERYTHING&amp;vid=01CRU&amp;lang=en_US&amp;offset=0&amp;query=any,contains,991001397309702656","Catalog Record")</f>
        <v>Catalog Record</v>
      </c>
      <c r="AT1043" s="6" t="str">
        <f>HYPERLINK("http://www.worldcat.org/oclc/19269559","WorldCat Record")</f>
        <v>WorldCat Record</v>
      </c>
      <c r="AU1043" s="3" t="s">
        <v>11792</v>
      </c>
      <c r="AV1043" s="3" t="s">
        <v>11793</v>
      </c>
      <c r="AW1043" s="3" t="s">
        <v>11794</v>
      </c>
      <c r="AX1043" s="3" t="s">
        <v>11794</v>
      </c>
      <c r="AY1043" s="3" t="s">
        <v>11795</v>
      </c>
      <c r="AZ1043" s="3" t="s">
        <v>75</v>
      </c>
      <c r="BB1043" s="3" t="s">
        <v>11796</v>
      </c>
      <c r="BC1043" s="3" t="s">
        <v>11797</v>
      </c>
      <c r="BD1043" s="3" t="s">
        <v>11798</v>
      </c>
    </row>
    <row r="1044" spans="1:56" ht="44.25" customHeight="1" x14ac:dyDescent="0.25">
      <c r="A1044" s="7" t="s">
        <v>61</v>
      </c>
      <c r="B1044" s="2" t="s">
        <v>11799</v>
      </c>
      <c r="C1044" s="2" t="s">
        <v>11800</v>
      </c>
      <c r="D1044" s="2" t="s">
        <v>11801</v>
      </c>
      <c r="F1044" s="3" t="s">
        <v>61</v>
      </c>
      <c r="G1044" s="3" t="s">
        <v>60</v>
      </c>
      <c r="H1044" s="3" t="s">
        <v>61</v>
      </c>
      <c r="I1044" s="3" t="s">
        <v>61</v>
      </c>
      <c r="J1044" s="3" t="s">
        <v>62</v>
      </c>
      <c r="K1044" s="2" t="s">
        <v>11802</v>
      </c>
      <c r="L1044" s="2" t="s">
        <v>11803</v>
      </c>
      <c r="M1044" s="3" t="s">
        <v>2281</v>
      </c>
      <c r="O1044" s="3" t="s">
        <v>114</v>
      </c>
      <c r="P1044" s="3" t="s">
        <v>192</v>
      </c>
      <c r="R1044" s="3" t="s">
        <v>68</v>
      </c>
      <c r="S1044" s="4">
        <v>3</v>
      </c>
      <c r="T1044" s="4">
        <v>3</v>
      </c>
      <c r="U1044" s="5" t="s">
        <v>11804</v>
      </c>
      <c r="V1044" s="5" t="s">
        <v>11804</v>
      </c>
      <c r="W1044" s="5" t="s">
        <v>11432</v>
      </c>
      <c r="X1044" s="5" t="s">
        <v>11432</v>
      </c>
      <c r="Y1044" s="4">
        <v>294</v>
      </c>
      <c r="Z1044" s="4">
        <v>206</v>
      </c>
      <c r="AA1044" s="4">
        <v>227</v>
      </c>
      <c r="AB1044" s="4">
        <v>3</v>
      </c>
      <c r="AC1044" s="4">
        <v>3</v>
      </c>
      <c r="AD1044" s="4">
        <v>7</v>
      </c>
      <c r="AE1044" s="4">
        <v>7</v>
      </c>
      <c r="AF1044" s="4">
        <v>1</v>
      </c>
      <c r="AG1044" s="4">
        <v>1</v>
      </c>
      <c r="AH1044" s="4">
        <v>3</v>
      </c>
      <c r="AI1044" s="4">
        <v>3</v>
      </c>
      <c r="AJ1044" s="4">
        <v>3</v>
      </c>
      <c r="AK1044" s="4">
        <v>3</v>
      </c>
      <c r="AL1044" s="4">
        <v>2</v>
      </c>
      <c r="AM1044" s="4">
        <v>2</v>
      </c>
      <c r="AN1044" s="4">
        <v>0</v>
      </c>
      <c r="AO1044" s="4">
        <v>0</v>
      </c>
      <c r="AP1044" s="3" t="s">
        <v>61</v>
      </c>
      <c r="AQ1044" s="3" t="s">
        <v>59</v>
      </c>
      <c r="AR1044" s="6" t="str">
        <f>HYPERLINK("http://catalog.hathitrust.org/Record/000292747","HathiTrust Record")</f>
        <v>HathiTrust Record</v>
      </c>
      <c r="AS1044" s="6" t="str">
        <f>HYPERLINK("https://creighton-primo.hosted.exlibrisgroup.com/primo-explore/search?tab=default_tab&amp;search_scope=EVERYTHING&amp;vid=01CRU&amp;lang=en_US&amp;offset=0&amp;query=any,contains,991004354439702656","Catalog Record")</f>
        <v>Catalog Record</v>
      </c>
      <c r="AT1044" s="6" t="str">
        <f>HYPERLINK("http://www.worldcat.org/oclc/3131130","WorldCat Record")</f>
        <v>WorldCat Record</v>
      </c>
      <c r="AU1044" s="3" t="s">
        <v>11805</v>
      </c>
      <c r="AV1044" s="3" t="s">
        <v>11806</v>
      </c>
      <c r="AW1044" s="3" t="s">
        <v>11807</v>
      </c>
      <c r="AX1044" s="3" t="s">
        <v>11807</v>
      </c>
      <c r="AY1044" s="3" t="s">
        <v>11808</v>
      </c>
      <c r="AZ1044" s="3" t="s">
        <v>75</v>
      </c>
      <c r="BB1044" s="3" t="s">
        <v>11809</v>
      </c>
      <c r="BC1044" s="3" t="s">
        <v>11810</v>
      </c>
      <c r="BD1044" s="3" t="s">
        <v>11811</v>
      </c>
    </row>
    <row r="1045" spans="1:56" ht="44.25" customHeight="1" x14ac:dyDescent="0.25">
      <c r="A1045" s="7" t="s">
        <v>61</v>
      </c>
      <c r="B1045" s="2" t="s">
        <v>11812</v>
      </c>
      <c r="C1045" s="2" t="s">
        <v>11813</v>
      </c>
      <c r="D1045" s="2" t="s">
        <v>11814</v>
      </c>
      <c r="F1045" s="3" t="s">
        <v>61</v>
      </c>
      <c r="G1045" s="3" t="s">
        <v>60</v>
      </c>
      <c r="H1045" s="3" t="s">
        <v>61</v>
      </c>
      <c r="I1045" s="3" t="s">
        <v>61</v>
      </c>
      <c r="J1045" s="3" t="s">
        <v>62</v>
      </c>
      <c r="K1045" s="2" t="s">
        <v>11815</v>
      </c>
      <c r="L1045" s="2" t="s">
        <v>11816</v>
      </c>
      <c r="M1045" s="3" t="s">
        <v>350</v>
      </c>
      <c r="O1045" s="3" t="s">
        <v>114</v>
      </c>
      <c r="P1045" s="3" t="s">
        <v>437</v>
      </c>
      <c r="R1045" s="3" t="s">
        <v>68</v>
      </c>
      <c r="S1045" s="4">
        <v>21</v>
      </c>
      <c r="T1045" s="4">
        <v>21</v>
      </c>
      <c r="U1045" s="5" t="s">
        <v>11817</v>
      </c>
      <c r="V1045" s="5" t="s">
        <v>11817</v>
      </c>
      <c r="W1045" s="5" t="s">
        <v>10753</v>
      </c>
      <c r="X1045" s="5" t="s">
        <v>10753</v>
      </c>
      <c r="Y1045" s="4">
        <v>850</v>
      </c>
      <c r="Z1045" s="4">
        <v>728</v>
      </c>
      <c r="AA1045" s="4">
        <v>761</v>
      </c>
      <c r="AB1045" s="4">
        <v>5</v>
      </c>
      <c r="AC1045" s="4">
        <v>5</v>
      </c>
      <c r="AD1045" s="4">
        <v>30</v>
      </c>
      <c r="AE1045" s="4">
        <v>32</v>
      </c>
      <c r="AF1045" s="4">
        <v>7</v>
      </c>
      <c r="AG1045" s="4">
        <v>9</v>
      </c>
      <c r="AH1045" s="4">
        <v>10</v>
      </c>
      <c r="AI1045" s="4">
        <v>10</v>
      </c>
      <c r="AJ1045" s="4">
        <v>17</v>
      </c>
      <c r="AK1045" s="4">
        <v>18</v>
      </c>
      <c r="AL1045" s="4">
        <v>4</v>
      </c>
      <c r="AM1045" s="4">
        <v>4</v>
      </c>
      <c r="AN1045" s="4">
        <v>0</v>
      </c>
      <c r="AO1045" s="4">
        <v>0</v>
      </c>
      <c r="AP1045" s="3" t="s">
        <v>61</v>
      </c>
      <c r="AQ1045" s="3" t="s">
        <v>61</v>
      </c>
      <c r="AS1045" s="6" t="str">
        <f>HYPERLINK("https://creighton-primo.hosted.exlibrisgroup.com/primo-explore/search?tab=default_tab&amp;search_scope=EVERYTHING&amp;vid=01CRU&amp;lang=en_US&amp;offset=0&amp;query=any,contains,991004710969702656","Catalog Record")</f>
        <v>Catalog Record</v>
      </c>
      <c r="AT1045" s="6" t="str">
        <f>HYPERLINK("http://www.worldcat.org/oclc/4764691","WorldCat Record")</f>
        <v>WorldCat Record</v>
      </c>
      <c r="AU1045" s="3" t="s">
        <v>11818</v>
      </c>
      <c r="AV1045" s="3" t="s">
        <v>11819</v>
      </c>
      <c r="AW1045" s="3" t="s">
        <v>11820</v>
      </c>
      <c r="AX1045" s="3" t="s">
        <v>11820</v>
      </c>
      <c r="AY1045" s="3" t="s">
        <v>11821</v>
      </c>
      <c r="AZ1045" s="3" t="s">
        <v>75</v>
      </c>
      <c r="BB1045" s="3" t="s">
        <v>11822</v>
      </c>
      <c r="BC1045" s="3" t="s">
        <v>11823</v>
      </c>
      <c r="BD1045" s="3" t="s">
        <v>11824</v>
      </c>
    </row>
    <row r="1046" spans="1:56" ht="44.25" customHeight="1" x14ac:dyDescent="0.25">
      <c r="A1046" s="7" t="s">
        <v>61</v>
      </c>
      <c r="B1046" s="2" t="s">
        <v>11825</v>
      </c>
      <c r="C1046" s="2" t="s">
        <v>11826</v>
      </c>
      <c r="D1046" s="2" t="s">
        <v>11827</v>
      </c>
      <c r="F1046" s="3" t="s">
        <v>61</v>
      </c>
      <c r="G1046" s="3" t="s">
        <v>60</v>
      </c>
      <c r="H1046" s="3" t="s">
        <v>61</v>
      </c>
      <c r="I1046" s="3" t="s">
        <v>61</v>
      </c>
      <c r="J1046" s="3" t="s">
        <v>62</v>
      </c>
      <c r="K1046" s="2" t="s">
        <v>11828</v>
      </c>
      <c r="L1046" s="2" t="s">
        <v>11829</v>
      </c>
      <c r="M1046" s="3" t="s">
        <v>379</v>
      </c>
      <c r="O1046" s="3" t="s">
        <v>114</v>
      </c>
      <c r="P1046" s="3" t="s">
        <v>235</v>
      </c>
      <c r="R1046" s="3" t="s">
        <v>68</v>
      </c>
      <c r="S1046" s="4">
        <v>1</v>
      </c>
      <c r="T1046" s="4">
        <v>1</v>
      </c>
      <c r="U1046" s="5" t="s">
        <v>11830</v>
      </c>
      <c r="V1046" s="5" t="s">
        <v>11830</v>
      </c>
      <c r="W1046" s="5" t="s">
        <v>11830</v>
      </c>
      <c r="X1046" s="5" t="s">
        <v>11830</v>
      </c>
      <c r="Y1046" s="4">
        <v>667</v>
      </c>
      <c r="Z1046" s="4">
        <v>649</v>
      </c>
      <c r="AA1046" s="4">
        <v>652</v>
      </c>
      <c r="AB1046" s="4">
        <v>4</v>
      </c>
      <c r="AC1046" s="4">
        <v>4</v>
      </c>
      <c r="AD1046" s="4">
        <v>36</v>
      </c>
      <c r="AE1046" s="4">
        <v>36</v>
      </c>
      <c r="AF1046" s="4">
        <v>14</v>
      </c>
      <c r="AG1046" s="4">
        <v>14</v>
      </c>
      <c r="AH1046" s="4">
        <v>4</v>
      </c>
      <c r="AI1046" s="4">
        <v>4</v>
      </c>
      <c r="AJ1046" s="4">
        <v>15</v>
      </c>
      <c r="AK1046" s="4">
        <v>15</v>
      </c>
      <c r="AL1046" s="4">
        <v>3</v>
      </c>
      <c r="AM1046" s="4">
        <v>3</v>
      </c>
      <c r="AN1046" s="4">
        <v>6</v>
      </c>
      <c r="AO1046" s="4">
        <v>6</v>
      </c>
      <c r="AP1046" s="3" t="s">
        <v>61</v>
      </c>
      <c r="AQ1046" s="3" t="s">
        <v>59</v>
      </c>
      <c r="AR1046" s="6" t="str">
        <f>HYPERLINK("http://catalog.hathitrust.org/Record/004928542","HathiTrust Record")</f>
        <v>HathiTrust Record</v>
      </c>
      <c r="AS1046" s="6" t="str">
        <f>HYPERLINK("https://creighton-primo.hosted.exlibrisgroup.com/primo-explore/search?tab=default_tab&amp;search_scope=EVERYTHING&amp;vid=01CRU&amp;lang=en_US&amp;offset=0&amp;query=any,contains,991004387379702656","Catalog Record")</f>
        <v>Catalog Record</v>
      </c>
      <c r="AT1046" s="6" t="str">
        <f>HYPERLINK("http://www.worldcat.org/oclc/44594100","WorldCat Record")</f>
        <v>WorldCat Record</v>
      </c>
      <c r="AU1046" s="3" t="s">
        <v>11831</v>
      </c>
      <c r="AV1046" s="3" t="s">
        <v>11832</v>
      </c>
      <c r="AW1046" s="3" t="s">
        <v>11833</v>
      </c>
      <c r="AX1046" s="3" t="s">
        <v>11833</v>
      </c>
      <c r="AY1046" s="3" t="s">
        <v>11834</v>
      </c>
      <c r="AZ1046" s="3" t="s">
        <v>75</v>
      </c>
      <c r="BB1046" s="3" t="s">
        <v>11835</v>
      </c>
      <c r="BC1046" s="3" t="s">
        <v>11836</v>
      </c>
      <c r="BD1046" s="3" t="s">
        <v>11837</v>
      </c>
    </row>
    <row r="1047" spans="1:56" ht="44.25" customHeight="1" x14ac:dyDescent="0.25">
      <c r="A1047" s="7" t="s">
        <v>61</v>
      </c>
      <c r="B1047" s="2" t="s">
        <v>11838</v>
      </c>
      <c r="C1047" s="2" t="s">
        <v>11839</v>
      </c>
      <c r="D1047" s="2" t="s">
        <v>11840</v>
      </c>
      <c r="F1047" s="3" t="s">
        <v>61</v>
      </c>
      <c r="G1047" s="3" t="s">
        <v>60</v>
      </c>
      <c r="H1047" s="3" t="s">
        <v>61</v>
      </c>
      <c r="I1047" s="3" t="s">
        <v>61</v>
      </c>
      <c r="J1047" s="3" t="s">
        <v>62</v>
      </c>
      <c r="L1047" s="2" t="s">
        <v>11841</v>
      </c>
      <c r="M1047" s="3" t="s">
        <v>436</v>
      </c>
      <c r="N1047" s="2" t="s">
        <v>634</v>
      </c>
      <c r="O1047" s="3" t="s">
        <v>114</v>
      </c>
      <c r="P1047" s="3" t="s">
        <v>235</v>
      </c>
      <c r="R1047" s="3" t="s">
        <v>68</v>
      </c>
      <c r="S1047" s="4">
        <v>6</v>
      </c>
      <c r="T1047" s="4">
        <v>6</v>
      </c>
      <c r="U1047" s="5" t="s">
        <v>11842</v>
      </c>
      <c r="V1047" s="5" t="s">
        <v>11842</v>
      </c>
      <c r="W1047" s="5" t="s">
        <v>11843</v>
      </c>
      <c r="X1047" s="5" t="s">
        <v>11843</v>
      </c>
      <c r="Y1047" s="4">
        <v>551</v>
      </c>
      <c r="Z1047" s="4">
        <v>459</v>
      </c>
      <c r="AA1047" s="4">
        <v>463</v>
      </c>
      <c r="AB1047" s="4">
        <v>4</v>
      </c>
      <c r="AC1047" s="4">
        <v>4</v>
      </c>
      <c r="AD1047" s="4">
        <v>12</v>
      </c>
      <c r="AE1047" s="4">
        <v>12</v>
      </c>
      <c r="AF1047" s="4">
        <v>2</v>
      </c>
      <c r="AG1047" s="4">
        <v>2</v>
      </c>
      <c r="AH1047" s="4">
        <v>1</v>
      </c>
      <c r="AI1047" s="4">
        <v>1</v>
      </c>
      <c r="AJ1047" s="4">
        <v>8</v>
      </c>
      <c r="AK1047" s="4">
        <v>8</v>
      </c>
      <c r="AL1047" s="4">
        <v>2</v>
      </c>
      <c r="AM1047" s="4">
        <v>2</v>
      </c>
      <c r="AN1047" s="4">
        <v>0</v>
      </c>
      <c r="AO1047" s="4">
        <v>0</v>
      </c>
      <c r="AP1047" s="3" t="s">
        <v>61</v>
      </c>
      <c r="AQ1047" s="3" t="s">
        <v>61</v>
      </c>
      <c r="AS1047" s="6" t="str">
        <f>HYPERLINK("https://creighton-primo.hosted.exlibrisgroup.com/primo-explore/search?tab=default_tab&amp;search_scope=EVERYTHING&amp;vid=01CRU&amp;lang=en_US&amp;offset=0&amp;query=any,contains,991001629799702656","Catalog Record")</f>
        <v>Catalog Record</v>
      </c>
      <c r="AT1047" s="6" t="str">
        <f>HYPERLINK("http://www.worldcat.org/oclc/20894652","WorldCat Record")</f>
        <v>WorldCat Record</v>
      </c>
      <c r="AU1047" s="3" t="s">
        <v>11844</v>
      </c>
      <c r="AV1047" s="3" t="s">
        <v>11845</v>
      </c>
      <c r="AW1047" s="3" t="s">
        <v>11846</v>
      </c>
      <c r="AX1047" s="3" t="s">
        <v>11846</v>
      </c>
      <c r="AY1047" s="3" t="s">
        <v>11847</v>
      </c>
      <c r="AZ1047" s="3" t="s">
        <v>75</v>
      </c>
      <c r="BB1047" s="3" t="s">
        <v>11848</v>
      </c>
      <c r="BC1047" s="3" t="s">
        <v>11849</v>
      </c>
      <c r="BD1047" s="3" t="s">
        <v>11850</v>
      </c>
    </row>
    <row r="1048" spans="1:56" ht="44.25" customHeight="1" x14ac:dyDescent="0.25">
      <c r="A1048" s="7" t="s">
        <v>61</v>
      </c>
      <c r="B1048" s="2" t="s">
        <v>11851</v>
      </c>
      <c r="C1048" s="2" t="s">
        <v>11852</v>
      </c>
      <c r="D1048" s="2" t="s">
        <v>11853</v>
      </c>
      <c r="F1048" s="3" t="s">
        <v>61</v>
      </c>
      <c r="G1048" s="3" t="s">
        <v>60</v>
      </c>
      <c r="H1048" s="3" t="s">
        <v>61</v>
      </c>
      <c r="I1048" s="3" t="s">
        <v>61</v>
      </c>
      <c r="J1048" s="3" t="s">
        <v>62</v>
      </c>
      <c r="K1048" s="2" t="s">
        <v>11854</v>
      </c>
      <c r="L1048" s="2" t="s">
        <v>11855</v>
      </c>
      <c r="M1048" s="3" t="s">
        <v>9342</v>
      </c>
      <c r="O1048" s="3" t="s">
        <v>114</v>
      </c>
      <c r="P1048" s="3" t="s">
        <v>235</v>
      </c>
      <c r="R1048" s="3" t="s">
        <v>68</v>
      </c>
      <c r="S1048" s="4">
        <v>1</v>
      </c>
      <c r="T1048" s="4">
        <v>1</v>
      </c>
      <c r="U1048" s="5" t="s">
        <v>9343</v>
      </c>
      <c r="V1048" s="5" t="s">
        <v>9343</v>
      </c>
      <c r="W1048" s="5" t="s">
        <v>9343</v>
      </c>
      <c r="X1048" s="5" t="s">
        <v>9343</v>
      </c>
      <c r="Y1048" s="4">
        <v>1103</v>
      </c>
      <c r="Z1048" s="4">
        <v>1025</v>
      </c>
      <c r="AA1048" s="4">
        <v>1097</v>
      </c>
      <c r="AB1048" s="4">
        <v>7</v>
      </c>
      <c r="AC1048" s="4">
        <v>7</v>
      </c>
      <c r="AD1048" s="4">
        <v>27</v>
      </c>
      <c r="AE1048" s="4">
        <v>28</v>
      </c>
      <c r="AF1048" s="4">
        <v>11</v>
      </c>
      <c r="AG1048" s="4">
        <v>12</v>
      </c>
      <c r="AH1048" s="4">
        <v>6</v>
      </c>
      <c r="AI1048" s="4">
        <v>6</v>
      </c>
      <c r="AJ1048" s="4">
        <v>11</v>
      </c>
      <c r="AK1048" s="4">
        <v>12</v>
      </c>
      <c r="AL1048" s="4">
        <v>6</v>
      </c>
      <c r="AM1048" s="4">
        <v>6</v>
      </c>
      <c r="AN1048" s="4">
        <v>0</v>
      </c>
      <c r="AO1048" s="4">
        <v>0</v>
      </c>
      <c r="AP1048" s="3" t="s">
        <v>61</v>
      </c>
      <c r="AQ1048" s="3" t="s">
        <v>59</v>
      </c>
      <c r="AR1048" s="6" t="str">
        <f>HYPERLINK("http://catalog.hathitrust.org/Record/005018390","HathiTrust Record")</f>
        <v>HathiTrust Record</v>
      </c>
      <c r="AS1048" s="6" t="str">
        <f>HYPERLINK("https://creighton-primo.hosted.exlibrisgroup.com/primo-explore/search?tab=default_tab&amp;search_scope=EVERYTHING&amp;vid=01CRU&amp;lang=en_US&amp;offset=0&amp;query=any,contains,991004582899702656","Catalog Record")</f>
        <v>Catalog Record</v>
      </c>
      <c r="AT1048" s="6" t="str">
        <f>HYPERLINK("http://www.worldcat.org/oclc/56324791","WorldCat Record")</f>
        <v>WorldCat Record</v>
      </c>
      <c r="AU1048" s="3" t="s">
        <v>11856</v>
      </c>
      <c r="AV1048" s="3" t="s">
        <v>11857</v>
      </c>
      <c r="AW1048" s="3" t="s">
        <v>11858</v>
      </c>
      <c r="AX1048" s="3" t="s">
        <v>11858</v>
      </c>
      <c r="AY1048" s="3" t="s">
        <v>11859</v>
      </c>
      <c r="AZ1048" s="3" t="s">
        <v>75</v>
      </c>
      <c r="BB1048" s="3" t="s">
        <v>11860</v>
      </c>
      <c r="BC1048" s="3" t="s">
        <v>11861</v>
      </c>
      <c r="BD1048" s="3" t="s">
        <v>11862</v>
      </c>
    </row>
    <row r="1049" spans="1:56" ht="44.25" customHeight="1" x14ac:dyDescent="0.25">
      <c r="A1049" s="7" t="s">
        <v>61</v>
      </c>
      <c r="B1049" s="2" t="s">
        <v>11863</v>
      </c>
      <c r="C1049" s="2" t="s">
        <v>11864</v>
      </c>
      <c r="D1049" s="2" t="s">
        <v>11865</v>
      </c>
      <c r="F1049" s="3" t="s">
        <v>61</v>
      </c>
      <c r="G1049" s="3" t="s">
        <v>60</v>
      </c>
      <c r="H1049" s="3" t="s">
        <v>61</v>
      </c>
      <c r="I1049" s="3" t="s">
        <v>61</v>
      </c>
      <c r="J1049" s="3" t="s">
        <v>62</v>
      </c>
      <c r="K1049" s="2" t="s">
        <v>11866</v>
      </c>
      <c r="L1049" s="2" t="s">
        <v>11867</v>
      </c>
      <c r="M1049" s="3" t="s">
        <v>2391</v>
      </c>
      <c r="O1049" s="3" t="s">
        <v>114</v>
      </c>
      <c r="P1049" s="3" t="s">
        <v>649</v>
      </c>
      <c r="R1049" s="3" t="s">
        <v>68</v>
      </c>
      <c r="S1049" s="4">
        <v>3</v>
      </c>
      <c r="T1049" s="4">
        <v>3</v>
      </c>
      <c r="U1049" s="5" t="s">
        <v>11868</v>
      </c>
      <c r="V1049" s="5" t="s">
        <v>11868</v>
      </c>
      <c r="W1049" s="5" t="s">
        <v>11869</v>
      </c>
      <c r="X1049" s="5" t="s">
        <v>11869</v>
      </c>
      <c r="Y1049" s="4">
        <v>268</v>
      </c>
      <c r="Z1049" s="4">
        <v>229</v>
      </c>
      <c r="AA1049" s="4">
        <v>237</v>
      </c>
      <c r="AB1049" s="4">
        <v>2</v>
      </c>
      <c r="AC1049" s="4">
        <v>2</v>
      </c>
      <c r="AD1049" s="4">
        <v>12</v>
      </c>
      <c r="AE1049" s="4">
        <v>12</v>
      </c>
      <c r="AF1049" s="4">
        <v>5</v>
      </c>
      <c r="AG1049" s="4">
        <v>5</v>
      </c>
      <c r="AH1049" s="4">
        <v>2</v>
      </c>
      <c r="AI1049" s="4">
        <v>2</v>
      </c>
      <c r="AJ1049" s="4">
        <v>8</v>
      </c>
      <c r="AK1049" s="4">
        <v>8</v>
      </c>
      <c r="AL1049" s="4">
        <v>1</v>
      </c>
      <c r="AM1049" s="4">
        <v>1</v>
      </c>
      <c r="AN1049" s="4">
        <v>0</v>
      </c>
      <c r="AO1049" s="4">
        <v>0</v>
      </c>
      <c r="AP1049" s="3" t="s">
        <v>61</v>
      </c>
      <c r="AQ1049" s="3" t="s">
        <v>59</v>
      </c>
      <c r="AR1049" s="6" t="str">
        <f>HYPERLINK("http://catalog.hathitrust.org/Record/004146191","HathiTrust Record")</f>
        <v>HathiTrust Record</v>
      </c>
      <c r="AS1049" s="6" t="str">
        <f>HYPERLINK("https://creighton-primo.hosted.exlibrisgroup.com/primo-explore/search?tab=default_tab&amp;search_scope=EVERYTHING&amp;vid=01CRU&amp;lang=en_US&amp;offset=0&amp;query=any,contains,991003864719702656","Catalog Record")</f>
        <v>Catalog Record</v>
      </c>
      <c r="AT1049" s="6" t="str">
        <f>HYPERLINK("http://www.worldcat.org/oclc/44517973","WorldCat Record")</f>
        <v>WorldCat Record</v>
      </c>
      <c r="AU1049" s="3" t="s">
        <v>11870</v>
      </c>
      <c r="AV1049" s="3" t="s">
        <v>11871</v>
      </c>
      <c r="AW1049" s="3" t="s">
        <v>11872</v>
      </c>
      <c r="AX1049" s="3" t="s">
        <v>11872</v>
      </c>
      <c r="AY1049" s="3" t="s">
        <v>11873</v>
      </c>
      <c r="AZ1049" s="3" t="s">
        <v>75</v>
      </c>
      <c r="BB1049" s="3" t="s">
        <v>11874</v>
      </c>
      <c r="BC1049" s="3" t="s">
        <v>11875</v>
      </c>
      <c r="BD1049" s="3" t="s">
        <v>11876</v>
      </c>
    </row>
    <row r="1050" spans="1:56" ht="44.25" customHeight="1" x14ac:dyDescent="0.25">
      <c r="A1050" s="7" t="s">
        <v>61</v>
      </c>
      <c r="B1050" s="2" t="s">
        <v>11877</v>
      </c>
      <c r="C1050" s="2" t="s">
        <v>11878</v>
      </c>
      <c r="D1050" s="2" t="s">
        <v>11879</v>
      </c>
      <c r="F1050" s="3" t="s">
        <v>61</v>
      </c>
      <c r="G1050" s="3" t="s">
        <v>60</v>
      </c>
      <c r="H1050" s="3" t="s">
        <v>61</v>
      </c>
      <c r="I1050" s="3" t="s">
        <v>61</v>
      </c>
      <c r="J1050" s="3" t="s">
        <v>62</v>
      </c>
      <c r="K1050" s="2" t="s">
        <v>11880</v>
      </c>
      <c r="L1050" s="2" t="s">
        <v>3010</v>
      </c>
      <c r="M1050" s="3" t="s">
        <v>1465</v>
      </c>
      <c r="O1050" s="3" t="s">
        <v>114</v>
      </c>
      <c r="P1050" s="3" t="s">
        <v>235</v>
      </c>
      <c r="R1050" s="3" t="s">
        <v>68</v>
      </c>
      <c r="S1050" s="4">
        <v>6</v>
      </c>
      <c r="T1050" s="4">
        <v>6</v>
      </c>
      <c r="U1050" s="5" t="s">
        <v>1857</v>
      </c>
      <c r="V1050" s="5" t="s">
        <v>1857</v>
      </c>
      <c r="W1050" s="5" t="s">
        <v>11881</v>
      </c>
      <c r="X1050" s="5" t="s">
        <v>11881</v>
      </c>
      <c r="Y1050" s="4">
        <v>464</v>
      </c>
      <c r="Z1050" s="4">
        <v>404</v>
      </c>
      <c r="AA1050" s="4">
        <v>405</v>
      </c>
      <c r="AB1050" s="4">
        <v>4</v>
      </c>
      <c r="AC1050" s="4">
        <v>4</v>
      </c>
      <c r="AD1050" s="4">
        <v>21</v>
      </c>
      <c r="AE1050" s="4">
        <v>21</v>
      </c>
      <c r="AF1050" s="4">
        <v>8</v>
      </c>
      <c r="AG1050" s="4">
        <v>8</v>
      </c>
      <c r="AH1050" s="4">
        <v>9</v>
      </c>
      <c r="AI1050" s="4">
        <v>9</v>
      </c>
      <c r="AJ1050" s="4">
        <v>8</v>
      </c>
      <c r="AK1050" s="4">
        <v>8</v>
      </c>
      <c r="AL1050" s="4">
        <v>3</v>
      </c>
      <c r="AM1050" s="4">
        <v>3</v>
      </c>
      <c r="AN1050" s="4">
        <v>0</v>
      </c>
      <c r="AO1050" s="4">
        <v>0</v>
      </c>
      <c r="AP1050" s="3" t="s">
        <v>61</v>
      </c>
      <c r="AQ1050" s="3" t="s">
        <v>59</v>
      </c>
      <c r="AR1050" s="6" t="str">
        <f>HYPERLINK("http://catalog.hathitrust.org/Record/002500912","HathiTrust Record")</f>
        <v>HathiTrust Record</v>
      </c>
      <c r="AS1050" s="6" t="str">
        <f>HYPERLINK("https://creighton-primo.hosted.exlibrisgroup.com/primo-explore/search?tab=default_tab&amp;search_scope=EVERYTHING&amp;vid=01CRU&amp;lang=en_US&amp;offset=0&amp;query=any,contains,991001798319702656","Catalog Record")</f>
        <v>Catalog Record</v>
      </c>
      <c r="AT1050" s="6" t="str">
        <f>HYPERLINK("http://www.worldcat.org/oclc/22625368","WorldCat Record")</f>
        <v>WorldCat Record</v>
      </c>
      <c r="AU1050" s="3" t="s">
        <v>11882</v>
      </c>
      <c r="AV1050" s="3" t="s">
        <v>11883</v>
      </c>
      <c r="AW1050" s="3" t="s">
        <v>11884</v>
      </c>
      <c r="AX1050" s="3" t="s">
        <v>11884</v>
      </c>
      <c r="AY1050" s="3" t="s">
        <v>11885</v>
      </c>
      <c r="AZ1050" s="3" t="s">
        <v>75</v>
      </c>
      <c r="BB1050" s="3" t="s">
        <v>11886</v>
      </c>
      <c r="BC1050" s="3" t="s">
        <v>11887</v>
      </c>
      <c r="BD1050" s="3" t="s">
        <v>11888</v>
      </c>
    </row>
    <row r="1051" spans="1:56" ht="44.25" customHeight="1" x14ac:dyDescent="0.25">
      <c r="A1051" s="7" t="s">
        <v>61</v>
      </c>
      <c r="B1051" s="2" t="s">
        <v>11889</v>
      </c>
      <c r="C1051" s="2" t="s">
        <v>11890</v>
      </c>
      <c r="D1051" s="2" t="s">
        <v>11891</v>
      </c>
      <c r="F1051" s="3" t="s">
        <v>61</v>
      </c>
      <c r="G1051" s="3" t="s">
        <v>60</v>
      </c>
      <c r="H1051" s="3" t="s">
        <v>61</v>
      </c>
      <c r="I1051" s="3" t="s">
        <v>61</v>
      </c>
      <c r="J1051" s="3" t="s">
        <v>62</v>
      </c>
      <c r="K1051" s="2" t="s">
        <v>11892</v>
      </c>
      <c r="L1051" s="2" t="s">
        <v>11893</v>
      </c>
      <c r="M1051" s="3" t="s">
        <v>1758</v>
      </c>
      <c r="O1051" s="3" t="s">
        <v>114</v>
      </c>
      <c r="P1051" s="3" t="s">
        <v>11718</v>
      </c>
      <c r="R1051" s="3" t="s">
        <v>68</v>
      </c>
      <c r="S1051" s="4">
        <v>7</v>
      </c>
      <c r="T1051" s="4">
        <v>7</v>
      </c>
      <c r="U1051" s="5" t="s">
        <v>3339</v>
      </c>
      <c r="V1051" s="5" t="s">
        <v>3339</v>
      </c>
      <c r="W1051" s="5" t="s">
        <v>10753</v>
      </c>
      <c r="X1051" s="5" t="s">
        <v>10753</v>
      </c>
      <c r="Y1051" s="4">
        <v>562</v>
      </c>
      <c r="Z1051" s="4">
        <v>498</v>
      </c>
      <c r="AA1051" s="4">
        <v>631</v>
      </c>
      <c r="AB1051" s="4">
        <v>4</v>
      </c>
      <c r="AC1051" s="4">
        <v>6</v>
      </c>
      <c r="AD1051" s="4">
        <v>25</v>
      </c>
      <c r="AE1051" s="4">
        <v>33</v>
      </c>
      <c r="AF1051" s="4">
        <v>10</v>
      </c>
      <c r="AG1051" s="4">
        <v>14</v>
      </c>
      <c r="AH1051" s="4">
        <v>5</v>
      </c>
      <c r="AI1051" s="4">
        <v>6</v>
      </c>
      <c r="AJ1051" s="4">
        <v>16</v>
      </c>
      <c r="AK1051" s="4">
        <v>18</v>
      </c>
      <c r="AL1051" s="4">
        <v>2</v>
      </c>
      <c r="AM1051" s="4">
        <v>4</v>
      </c>
      <c r="AN1051" s="4">
        <v>0</v>
      </c>
      <c r="AO1051" s="4">
        <v>0</v>
      </c>
      <c r="AP1051" s="3" t="s">
        <v>61</v>
      </c>
      <c r="AQ1051" s="3" t="s">
        <v>61</v>
      </c>
      <c r="AS1051" s="6" t="str">
        <f>HYPERLINK("https://creighton-primo.hosted.exlibrisgroup.com/primo-explore/search?tab=default_tab&amp;search_scope=EVERYTHING&amp;vid=01CRU&amp;lang=en_US&amp;offset=0&amp;query=any,contains,991005059969702656","Catalog Record")</f>
        <v>Catalog Record</v>
      </c>
      <c r="AT1051" s="6" t="str">
        <f>HYPERLINK("http://www.worldcat.org/oclc/6916401","WorldCat Record")</f>
        <v>WorldCat Record</v>
      </c>
      <c r="AU1051" s="3" t="s">
        <v>11894</v>
      </c>
      <c r="AV1051" s="3" t="s">
        <v>11895</v>
      </c>
      <c r="AW1051" s="3" t="s">
        <v>11896</v>
      </c>
      <c r="AX1051" s="3" t="s">
        <v>11896</v>
      </c>
      <c r="AY1051" s="3" t="s">
        <v>11897</v>
      </c>
      <c r="AZ1051" s="3" t="s">
        <v>75</v>
      </c>
      <c r="BB1051" s="3" t="s">
        <v>11898</v>
      </c>
      <c r="BC1051" s="3" t="s">
        <v>11899</v>
      </c>
      <c r="BD1051" s="3" t="s">
        <v>11900</v>
      </c>
    </row>
    <row r="1052" spans="1:56" ht="44.25" customHeight="1" x14ac:dyDescent="0.25">
      <c r="A1052" s="7" t="s">
        <v>61</v>
      </c>
      <c r="B1052" s="2" t="s">
        <v>11901</v>
      </c>
      <c r="C1052" s="2" t="s">
        <v>11902</v>
      </c>
      <c r="D1052" s="2" t="s">
        <v>11903</v>
      </c>
      <c r="F1052" s="3" t="s">
        <v>61</v>
      </c>
      <c r="G1052" s="3" t="s">
        <v>60</v>
      </c>
      <c r="H1052" s="3" t="s">
        <v>61</v>
      </c>
      <c r="I1052" s="3" t="s">
        <v>61</v>
      </c>
      <c r="J1052" s="3" t="s">
        <v>62</v>
      </c>
      <c r="K1052" s="2" t="s">
        <v>11892</v>
      </c>
      <c r="L1052" s="2" t="s">
        <v>11904</v>
      </c>
      <c r="M1052" s="3" t="s">
        <v>466</v>
      </c>
      <c r="O1052" s="3" t="s">
        <v>114</v>
      </c>
      <c r="P1052" s="3" t="s">
        <v>11905</v>
      </c>
      <c r="Q1052" s="2" t="s">
        <v>11906</v>
      </c>
      <c r="R1052" s="3" t="s">
        <v>68</v>
      </c>
      <c r="S1052" s="4">
        <v>10</v>
      </c>
      <c r="T1052" s="4">
        <v>10</v>
      </c>
      <c r="U1052" s="5" t="s">
        <v>11907</v>
      </c>
      <c r="V1052" s="5" t="s">
        <v>11907</v>
      </c>
      <c r="W1052" s="5" t="s">
        <v>11908</v>
      </c>
      <c r="X1052" s="5" t="s">
        <v>11908</v>
      </c>
      <c r="Y1052" s="4">
        <v>1042</v>
      </c>
      <c r="Z1052" s="4">
        <v>938</v>
      </c>
      <c r="AA1052" s="4">
        <v>952</v>
      </c>
      <c r="AB1052" s="4">
        <v>8</v>
      </c>
      <c r="AC1052" s="4">
        <v>8</v>
      </c>
      <c r="AD1052" s="4">
        <v>39</v>
      </c>
      <c r="AE1052" s="4">
        <v>39</v>
      </c>
      <c r="AF1052" s="4">
        <v>14</v>
      </c>
      <c r="AG1052" s="4">
        <v>14</v>
      </c>
      <c r="AH1052" s="4">
        <v>9</v>
      </c>
      <c r="AI1052" s="4">
        <v>9</v>
      </c>
      <c r="AJ1052" s="4">
        <v>15</v>
      </c>
      <c r="AK1052" s="4">
        <v>15</v>
      </c>
      <c r="AL1052" s="4">
        <v>7</v>
      </c>
      <c r="AM1052" s="4">
        <v>7</v>
      </c>
      <c r="AN1052" s="4">
        <v>1</v>
      </c>
      <c r="AO1052" s="4">
        <v>1</v>
      </c>
      <c r="AP1052" s="3" t="s">
        <v>61</v>
      </c>
      <c r="AQ1052" s="3" t="s">
        <v>61</v>
      </c>
      <c r="AS1052" s="6" t="str">
        <f>HYPERLINK("https://creighton-primo.hosted.exlibrisgroup.com/primo-explore/search?tab=default_tab&amp;search_scope=EVERYTHING&amp;vid=01CRU&amp;lang=en_US&amp;offset=0&amp;query=any,contains,991004567999702656","Catalog Record")</f>
        <v>Catalog Record</v>
      </c>
      <c r="AT1052" s="6" t="str">
        <f>HYPERLINK("http://www.worldcat.org/oclc/4004989","WorldCat Record")</f>
        <v>WorldCat Record</v>
      </c>
      <c r="AU1052" s="3" t="s">
        <v>11909</v>
      </c>
      <c r="AV1052" s="3" t="s">
        <v>11910</v>
      </c>
      <c r="AW1052" s="3" t="s">
        <v>11911</v>
      </c>
      <c r="AX1052" s="3" t="s">
        <v>11911</v>
      </c>
      <c r="AY1052" s="3" t="s">
        <v>11912</v>
      </c>
      <c r="AZ1052" s="3" t="s">
        <v>75</v>
      </c>
      <c r="BB1052" s="3" t="s">
        <v>11913</v>
      </c>
      <c r="BC1052" s="3" t="s">
        <v>11914</v>
      </c>
      <c r="BD1052" s="3" t="s">
        <v>11915</v>
      </c>
    </row>
    <row r="1053" spans="1:56" ht="44.25" customHeight="1" x14ac:dyDescent="0.25">
      <c r="A1053" s="7" t="s">
        <v>61</v>
      </c>
      <c r="B1053" s="2" t="s">
        <v>11916</v>
      </c>
      <c r="C1053" s="2" t="s">
        <v>11917</v>
      </c>
      <c r="D1053" s="2" t="s">
        <v>11918</v>
      </c>
      <c r="F1053" s="3" t="s">
        <v>61</v>
      </c>
      <c r="G1053" s="3" t="s">
        <v>60</v>
      </c>
      <c r="H1053" s="3" t="s">
        <v>61</v>
      </c>
      <c r="I1053" s="3" t="s">
        <v>61</v>
      </c>
      <c r="J1053" s="3" t="s">
        <v>62</v>
      </c>
      <c r="K1053" s="2" t="s">
        <v>11919</v>
      </c>
      <c r="L1053" s="2" t="s">
        <v>9256</v>
      </c>
      <c r="M1053" s="3" t="s">
        <v>466</v>
      </c>
      <c r="O1053" s="3" t="s">
        <v>114</v>
      </c>
      <c r="P1053" s="3" t="s">
        <v>235</v>
      </c>
      <c r="R1053" s="3" t="s">
        <v>68</v>
      </c>
      <c r="S1053" s="4">
        <v>2</v>
      </c>
      <c r="T1053" s="4">
        <v>2</v>
      </c>
      <c r="U1053" s="5" t="s">
        <v>11920</v>
      </c>
      <c r="V1053" s="5" t="s">
        <v>11920</v>
      </c>
      <c r="W1053" s="5" t="s">
        <v>10053</v>
      </c>
      <c r="X1053" s="5" t="s">
        <v>10053</v>
      </c>
      <c r="Y1053" s="4">
        <v>620</v>
      </c>
      <c r="Z1053" s="4">
        <v>495</v>
      </c>
      <c r="AA1053" s="4">
        <v>498</v>
      </c>
      <c r="AB1053" s="4">
        <v>5</v>
      </c>
      <c r="AC1053" s="4">
        <v>5</v>
      </c>
      <c r="AD1053" s="4">
        <v>30</v>
      </c>
      <c r="AE1053" s="4">
        <v>30</v>
      </c>
      <c r="AF1053" s="4">
        <v>10</v>
      </c>
      <c r="AG1053" s="4">
        <v>10</v>
      </c>
      <c r="AH1053" s="4">
        <v>8</v>
      </c>
      <c r="AI1053" s="4">
        <v>8</v>
      </c>
      <c r="AJ1053" s="4">
        <v>18</v>
      </c>
      <c r="AK1053" s="4">
        <v>18</v>
      </c>
      <c r="AL1053" s="4">
        <v>4</v>
      </c>
      <c r="AM1053" s="4">
        <v>4</v>
      </c>
      <c r="AN1053" s="4">
        <v>0</v>
      </c>
      <c r="AO1053" s="4">
        <v>0</v>
      </c>
      <c r="AP1053" s="3" t="s">
        <v>61</v>
      </c>
      <c r="AQ1053" s="3" t="s">
        <v>59</v>
      </c>
      <c r="AR1053" s="6" t="str">
        <f>HYPERLINK("http://catalog.hathitrust.org/Record/000137171","HathiTrust Record")</f>
        <v>HathiTrust Record</v>
      </c>
      <c r="AS1053" s="6" t="str">
        <f>HYPERLINK("https://creighton-primo.hosted.exlibrisgroup.com/primo-explore/search?tab=default_tab&amp;search_scope=EVERYTHING&amp;vid=01CRU&amp;lang=en_US&amp;offset=0&amp;query=any,contains,991004540049702656","Catalog Record")</f>
        <v>Catalog Record</v>
      </c>
      <c r="AT1053" s="6" t="str">
        <f>HYPERLINK("http://www.worldcat.org/oclc/3892715","WorldCat Record")</f>
        <v>WorldCat Record</v>
      </c>
      <c r="AU1053" s="3" t="s">
        <v>11921</v>
      </c>
      <c r="AV1053" s="3" t="s">
        <v>11922</v>
      </c>
      <c r="AW1053" s="3" t="s">
        <v>11923</v>
      </c>
      <c r="AX1053" s="3" t="s">
        <v>11923</v>
      </c>
      <c r="AY1053" s="3" t="s">
        <v>11924</v>
      </c>
      <c r="AZ1053" s="3" t="s">
        <v>75</v>
      </c>
      <c r="BB1053" s="3" t="s">
        <v>11925</v>
      </c>
      <c r="BC1053" s="3" t="s">
        <v>11926</v>
      </c>
      <c r="BD1053" s="3" t="s">
        <v>11927</v>
      </c>
    </row>
    <row r="1054" spans="1:56" ht="44.25" customHeight="1" x14ac:dyDescent="0.25">
      <c r="A1054" s="7" t="s">
        <v>61</v>
      </c>
      <c r="B1054" s="2" t="s">
        <v>11928</v>
      </c>
      <c r="C1054" s="2" t="s">
        <v>11929</v>
      </c>
      <c r="D1054" s="2" t="s">
        <v>11930</v>
      </c>
      <c r="F1054" s="3" t="s">
        <v>61</v>
      </c>
      <c r="G1054" s="3" t="s">
        <v>60</v>
      </c>
      <c r="H1054" s="3" t="s">
        <v>61</v>
      </c>
      <c r="I1054" s="3" t="s">
        <v>61</v>
      </c>
      <c r="J1054" s="3" t="s">
        <v>62</v>
      </c>
      <c r="K1054" s="2" t="s">
        <v>11931</v>
      </c>
      <c r="L1054" s="2" t="s">
        <v>11932</v>
      </c>
      <c r="M1054" s="3" t="s">
        <v>2281</v>
      </c>
      <c r="O1054" s="3" t="s">
        <v>114</v>
      </c>
      <c r="P1054" s="3" t="s">
        <v>437</v>
      </c>
      <c r="R1054" s="3" t="s">
        <v>68</v>
      </c>
      <c r="S1054" s="4">
        <v>8</v>
      </c>
      <c r="T1054" s="4">
        <v>8</v>
      </c>
      <c r="U1054" s="5" t="s">
        <v>11933</v>
      </c>
      <c r="V1054" s="5" t="s">
        <v>11933</v>
      </c>
      <c r="W1054" s="5" t="s">
        <v>10053</v>
      </c>
      <c r="X1054" s="5" t="s">
        <v>10053</v>
      </c>
      <c r="Y1054" s="4">
        <v>188</v>
      </c>
      <c r="Z1054" s="4">
        <v>169</v>
      </c>
      <c r="AA1054" s="4">
        <v>346</v>
      </c>
      <c r="AB1054" s="4">
        <v>2</v>
      </c>
      <c r="AC1054" s="4">
        <v>3</v>
      </c>
      <c r="AD1054" s="4">
        <v>5</v>
      </c>
      <c r="AE1054" s="4">
        <v>10</v>
      </c>
      <c r="AF1054" s="4">
        <v>1</v>
      </c>
      <c r="AG1054" s="4">
        <v>2</v>
      </c>
      <c r="AH1054" s="4">
        <v>0</v>
      </c>
      <c r="AI1054" s="4">
        <v>2</v>
      </c>
      <c r="AJ1054" s="4">
        <v>3</v>
      </c>
      <c r="AK1054" s="4">
        <v>5</v>
      </c>
      <c r="AL1054" s="4">
        <v>1</v>
      </c>
      <c r="AM1054" s="4">
        <v>1</v>
      </c>
      <c r="AN1054" s="4">
        <v>0</v>
      </c>
      <c r="AO1054" s="4">
        <v>0</v>
      </c>
      <c r="AP1054" s="3" t="s">
        <v>61</v>
      </c>
      <c r="AQ1054" s="3" t="s">
        <v>59</v>
      </c>
      <c r="AR1054" s="6" t="str">
        <f>HYPERLINK("http://catalog.hathitrust.org/Record/000021951","HathiTrust Record")</f>
        <v>HathiTrust Record</v>
      </c>
      <c r="AS1054" s="6" t="str">
        <f>HYPERLINK("https://creighton-primo.hosted.exlibrisgroup.com/primo-explore/search?tab=default_tab&amp;search_scope=EVERYTHING&amp;vid=01CRU&amp;lang=en_US&amp;offset=0&amp;query=any,contains,991004356119702656","Catalog Record")</f>
        <v>Catalog Record</v>
      </c>
      <c r="AT1054" s="6" t="str">
        <f>HYPERLINK("http://www.worldcat.org/oclc/3139963","WorldCat Record")</f>
        <v>WorldCat Record</v>
      </c>
      <c r="AU1054" s="3" t="s">
        <v>11934</v>
      </c>
      <c r="AV1054" s="3" t="s">
        <v>11935</v>
      </c>
      <c r="AW1054" s="3" t="s">
        <v>11936</v>
      </c>
      <c r="AX1054" s="3" t="s">
        <v>11936</v>
      </c>
      <c r="AY1054" s="3" t="s">
        <v>11937</v>
      </c>
      <c r="AZ1054" s="3" t="s">
        <v>75</v>
      </c>
      <c r="BB1054" s="3" t="s">
        <v>11938</v>
      </c>
      <c r="BC1054" s="3" t="s">
        <v>11939</v>
      </c>
      <c r="BD1054" s="3" t="s">
        <v>11940</v>
      </c>
    </row>
    <row r="1055" spans="1:56" ht="44.25" customHeight="1" x14ac:dyDescent="0.25">
      <c r="A1055" s="7" t="s">
        <v>61</v>
      </c>
      <c r="B1055" s="2" t="s">
        <v>11941</v>
      </c>
      <c r="C1055" s="2" t="s">
        <v>11942</v>
      </c>
      <c r="D1055" s="2" t="s">
        <v>11943</v>
      </c>
      <c r="F1055" s="3" t="s">
        <v>61</v>
      </c>
      <c r="G1055" s="3" t="s">
        <v>60</v>
      </c>
      <c r="H1055" s="3" t="s">
        <v>61</v>
      </c>
      <c r="I1055" s="3" t="s">
        <v>61</v>
      </c>
      <c r="J1055" s="3" t="s">
        <v>62</v>
      </c>
      <c r="K1055" s="2" t="s">
        <v>11944</v>
      </c>
      <c r="L1055" s="2" t="s">
        <v>11945</v>
      </c>
      <c r="M1055" s="3" t="s">
        <v>579</v>
      </c>
      <c r="N1055" s="2" t="s">
        <v>11946</v>
      </c>
      <c r="O1055" s="3" t="s">
        <v>114</v>
      </c>
      <c r="P1055" s="3" t="s">
        <v>9803</v>
      </c>
      <c r="R1055" s="3" t="s">
        <v>68</v>
      </c>
      <c r="S1055" s="4">
        <v>11</v>
      </c>
      <c r="T1055" s="4">
        <v>11</v>
      </c>
      <c r="U1055" s="5" t="s">
        <v>409</v>
      </c>
      <c r="V1055" s="5" t="s">
        <v>409</v>
      </c>
      <c r="W1055" s="5" t="s">
        <v>11947</v>
      </c>
      <c r="X1055" s="5" t="s">
        <v>11947</v>
      </c>
      <c r="Y1055" s="4">
        <v>352</v>
      </c>
      <c r="Z1055" s="4">
        <v>315</v>
      </c>
      <c r="AA1055" s="4">
        <v>2431</v>
      </c>
      <c r="AB1055" s="4">
        <v>2</v>
      </c>
      <c r="AC1055" s="4">
        <v>23</v>
      </c>
      <c r="AD1055" s="4">
        <v>5</v>
      </c>
      <c r="AE1055" s="4">
        <v>65</v>
      </c>
      <c r="AF1055" s="4">
        <v>3</v>
      </c>
      <c r="AG1055" s="4">
        <v>25</v>
      </c>
      <c r="AH1055" s="4">
        <v>1</v>
      </c>
      <c r="AI1055" s="4">
        <v>10</v>
      </c>
      <c r="AJ1055" s="4">
        <v>3</v>
      </c>
      <c r="AK1055" s="4">
        <v>26</v>
      </c>
      <c r="AL1055" s="4">
        <v>0</v>
      </c>
      <c r="AM1055" s="4">
        <v>14</v>
      </c>
      <c r="AN1055" s="4">
        <v>0</v>
      </c>
      <c r="AO1055" s="4">
        <v>3</v>
      </c>
      <c r="AP1055" s="3" t="s">
        <v>61</v>
      </c>
      <c r="AQ1055" s="3" t="s">
        <v>59</v>
      </c>
      <c r="AR1055" s="6" t="str">
        <f>HYPERLINK("http://catalog.hathitrust.org/Record/010644332","HathiTrust Record")</f>
        <v>HathiTrust Record</v>
      </c>
      <c r="AS1055" s="6" t="str">
        <f>HYPERLINK("https://creighton-primo.hosted.exlibrisgroup.com/primo-explore/search?tab=default_tab&amp;search_scope=EVERYTHING&amp;vid=01CRU&amp;lang=en_US&amp;offset=0&amp;query=any,contains,991000763029702656","Catalog Record")</f>
        <v>Catalog Record</v>
      </c>
      <c r="AT1055" s="6" t="str">
        <f>HYPERLINK("http://www.worldcat.org/oclc/12975111","WorldCat Record")</f>
        <v>WorldCat Record</v>
      </c>
      <c r="AU1055" s="3" t="s">
        <v>11948</v>
      </c>
      <c r="AV1055" s="3" t="s">
        <v>11949</v>
      </c>
      <c r="AW1055" s="3" t="s">
        <v>11950</v>
      </c>
      <c r="AX1055" s="3" t="s">
        <v>11950</v>
      </c>
      <c r="AY1055" s="3" t="s">
        <v>11951</v>
      </c>
      <c r="AZ1055" s="3" t="s">
        <v>75</v>
      </c>
      <c r="BB1055" s="3" t="s">
        <v>11952</v>
      </c>
      <c r="BC1055" s="3" t="s">
        <v>11953</v>
      </c>
      <c r="BD1055" s="3" t="s">
        <v>11954</v>
      </c>
    </row>
    <row r="1056" spans="1:56" ht="44.25" customHeight="1" x14ac:dyDescent="0.25">
      <c r="A1056" s="7" t="s">
        <v>61</v>
      </c>
      <c r="B1056" s="2" t="s">
        <v>11955</v>
      </c>
      <c r="C1056" s="2" t="s">
        <v>11956</v>
      </c>
      <c r="D1056" s="2" t="s">
        <v>11957</v>
      </c>
      <c r="F1056" s="3" t="s">
        <v>61</v>
      </c>
      <c r="G1056" s="3" t="s">
        <v>60</v>
      </c>
      <c r="H1056" s="3" t="s">
        <v>61</v>
      </c>
      <c r="I1056" s="3" t="s">
        <v>61</v>
      </c>
      <c r="J1056" s="3" t="s">
        <v>62</v>
      </c>
      <c r="L1056" s="2" t="s">
        <v>11958</v>
      </c>
      <c r="M1056" s="3" t="s">
        <v>796</v>
      </c>
      <c r="O1056" s="3" t="s">
        <v>114</v>
      </c>
      <c r="P1056" s="3" t="s">
        <v>1439</v>
      </c>
      <c r="R1056" s="3" t="s">
        <v>68</v>
      </c>
      <c r="S1056" s="4">
        <v>19</v>
      </c>
      <c r="T1056" s="4">
        <v>19</v>
      </c>
      <c r="U1056" s="5" t="s">
        <v>11959</v>
      </c>
      <c r="V1056" s="5" t="s">
        <v>11959</v>
      </c>
      <c r="W1056" s="5" t="s">
        <v>11960</v>
      </c>
      <c r="X1056" s="5" t="s">
        <v>11960</v>
      </c>
      <c r="Y1056" s="4">
        <v>692</v>
      </c>
      <c r="Z1056" s="4">
        <v>605</v>
      </c>
      <c r="AA1056" s="4">
        <v>781</v>
      </c>
      <c r="AB1056" s="4">
        <v>4</v>
      </c>
      <c r="AC1056" s="4">
        <v>4</v>
      </c>
      <c r="AD1056" s="4">
        <v>37</v>
      </c>
      <c r="AE1056" s="4">
        <v>41</v>
      </c>
      <c r="AF1056" s="4">
        <v>16</v>
      </c>
      <c r="AG1056" s="4">
        <v>19</v>
      </c>
      <c r="AH1056" s="4">
        <v>8</v>
      </c>
      <c r="AI1056" s="4">
        <v>9</v>
      </c>
      <c r="AJ1056" s="4">
        <v>20</v>
      </c>
      <c r="AK1056" s="4">
        <v>22</v>
      </c>
      <c r="AL1056" s="4">
        <v>3</v>
      </c>
      <c r="AM1056" s="4">
        <v>3</v>
      </c>
      <c r="AN1056" s="4">
        <v>0</v>
      </c>
      <c r="AO1056" s="4">
        <v>0</v>
      </c>
      <c r="AP1056" s="3" t="s">
        <v>61</v>
      </c>
      <c r="AQ1056" s="3" t="s">
        <v>61</v>
      </c>
      <c r="AS1056" s="6" t="str">
        <f>HYPERLINK("https://creighton-primo.hosted.exlibrisgroup.com/primo-explore/search?tab=default_tab&amp;search_scope=EVERYTHING&amp;vid=01CRU&amp;lang=en_US&amp;offset=0&amp;query=any,contains,991001149789702656","Catalog Record")</f>
        <v>Catalog Record</v>
      </c>
      <c r="AT1056" s="6" t="str">
        <f>HYPERLINK("http://www.worldcat.org/oclc/16804760","WorldCat Record")</f>
        <v>WorldCat Record</v>
      </c>
      <c r="AU1056" s="3" t="s">
        <v>11961</v>
      </c>
      <c r="AV1056" s="3" t="s">
        <v>11962</v>
      </c>
      <c r="AW1056" s="3" t="s">
        <v>11963</v>
      </c>
      <c r="AX1056" s="3" t="s">
        <v>11963</v>
      </c>
      <c r="AY1056" s="3" t="s">
        <v>11964</v>
      </c>
      <c r="AZ1056" s="3" t="s">
        <v>75</v>
      </c>
      <c r="BB1056" s="3" t="s">
        <v>11965</v>
      </c>
      <c r="BC1056" s="3" t="s">
        <v>11966</v>
      </c>
      <c r="BD1056" s="3" t="s">
        <v>11967</v>
      </c>
    </row>
    <row r="1057" spans="1:56" ht="44.25" customHeight="1" x14ac:dyDescent="0.25">
      <c r="A1057" s="7" t="s">
        <v>61</v>
      </c>
      <c r="B1057" s="2" t="s">
        <v>11968</v>
      </c>
      <c r="C1057" s="2" t="s">
        <v>11969</v>
      </c>
      <c r="D1057" s="2" t="s">
        <v>11970</v>
      </c>
      <c r="F1057" s="3" t="s">
        <v>61</v>
      </c>
      <c r="G1057" s="3" t="s">
        <v>60</v>
      </c>
      <c r="H1057" s="3" t="s">
        <v>59</v>
      </c>
      <c r="I1057" s="3" t="s">
        <v>61</v>
      </c>
      <c r="J1057" s="3" t="s">
        <v>62</v>
      </c>
      <c r="K1057" s="2" t="s">
        <v>11971</v>
      </c>
      <c r="L1057" s="2" t="s">
        <v>11972</v>
      </c>
      <c r="M1057" s="3" t="s">
        <v>1758</v>
      </c>
      <c r="O1057" s="3" t="s">
        <v>114</v>
      </c>
      <c r="P1057" s="3" t="s">
        <v>235</v>
      </c>
      <c r="R1057" s="3" t="s">
        <v>68</v>
      </c>
      <c r="S1057" s="4">
        <v>23</v>
      </c>
      <c r="T1057" s="4">
        <v>40</v>
      </c>
      <c r="U1057" s="5" t="s">
        <v>11973</v>
      </c>
      <c r="V1057" s="5" t="s">
        <v>11974</v>
      </c>
      <c r="W1057" s="5" t="s">
        <v>2283</v>
      </c>
      <c r="X1057" s="5" t="s">
        <v>2283</v>
      </c>
      <c r="Y1057" s="4">
        <v>1013</v>
      </c>
      <c r="Z1057" s="4">
        <v>915</v>
      </c>
      <c r="AA1057" s="4">
        <v>925</v>
      </c>
      <c r="AB1057" s="4">
        <v>9</v>
      </c>
      <c r="AC1057" s="4">
        <v>9</v>
      </c>
      <c r="AD1057" s="4">
        <v>36</v>
      </c>
      <c r="AE1057" s="4">
        <v>36</v>
      </c>
      <c r="AF1057" s="4">
        <v>15</v>
      </c>
      <c r="AG1057" s="4">
        <v>15</v>
      </c>
      <c r="AH1057" s="4">
        <v>8</v>
      </c>
      <c r="AI1057" s="4">
        <v>8</v>
      </c>
      <c r="AJ1057" s="4">
        <v>18</v>
      </c>
      <c r="AK1057" s="4">
        <v>18</v>
      </c>
      <c r="AL1057" s="4">
        <v>5</v>
      </c>
      <c r="AM1057" s="4">
        <v>5</v>
      </c>
      <c r="AN1057" s="4">
        <v>0</v>
      </c>
      <c r="AO1057" s="4">
        <v>0</v>
      </c>
      <c r="AP1057" s="3" t="s">
        <v>61</v>
      </c>
      <c r="AQ1057" s="3" t="s">
        <v>59</v>
      </c>
      <c r="AR1057" s="6" t="str">
        <f>HYPERLINK("http://catalog.hathitrust.org/Record/000184087","HathiTrust Record")</f>
        <v>HathiTrust Record</v>
      </c>
      <c r="AS1057" s="6" t="str">
        <f>HYPERLINK("https://creighton-primo.hosted.exlibrisgroup.com/primo-explore/search?tab=default_tab&amp;search_scope=EVERYTHING&amp;vid=01CRU&amp;lang=en_US&amp;offset=0&amp;query=any,contains,991001764649702656","Catalog Record")</f>
        <v>Catalog Record</v>
      </c>
      <c r="AT1057" s="6" t="str">
        <f>HYPERLINK("http://www.worldcat.org/oclc/7277593","WorldCat Record")</f>
        <v>WorldCat Record</v>
      </c>
      <c r="AU1057" s="3" t="s">
        <v>11975</v>
      </c>
      <c r="AV1057" s="3" t="s">
        <v>11976</v>
      </c>
      <c r="AW1057" s="3" t="s">
        <v>11977</v>
      </c>
      <c r="AX1057" s="3" t="s">
        <v>11977</v>
      </c>
      <c r="AY1057" s="3" t="s">
        <v>11978</v>
      </c>
      <c r="AZ1057" s="3" t="s">
        <v>75</v>
      </c>
      <c r="BB1057" s="3" t="s">
        <v>11979</v>
      </c>
      <c r="BC1057" s="3" t="s">
        <v>11980</v>
      </c>
      <c r="BD1057" s="3" t="s">
        <v>11981</v>
      </c>
    </row>
    <row r="1058" spans="1:56" ht="44.25" customHeight="1" x14ac:dyDescent="0.25">
      <c r="A1058" s="7" t="s">
        <v>61</v>
      </c>
      <c r="B1058" s="2" t="s">
        <v>11982</v>
      </c>
      <c r="C1058" s="2" t="s">
        <v>11983</v>
      </c>
      <c r="D1058" s="2" t="s">
        <v>11984</v>
      </c>
      <c r="F1058" s="3" t="s">
        <v>61</v>
      </c>
      <c r="G1058" s="3" t="s">
        <v>60</v>
      </c>
      <c r="H1058" s="3" t="s">
        <v>61</v>
      </c>
      <c r="I1058" s="3" t="s">
        <v>61</v>
      </c>
      <c r="J1058" s="3" t="s">
        <v>62</v>
      </c>
      <c r="K1058" s="2" t="s">
        <v>11985</v>
      </c>
      <c r="L1058" s="2" t="s">
        <v>10838</v>
      </c>
      <c r="M1058" s="3" t="s">
        <v>350</v>
      </c>
      <c r="O1058" s="3" t="s">
        <v>114</v>
      </c>
      <c r="P1058" s="3" t="s">
        <v>235</v>
      </c>
      <c r="R1058" s="3" t="s">
        <v>68</v>
      </c>
      <c r="S1058" s="4">
        <v>10</v>
      </c>
      <c r="T1058" s="4">
        <v>10</v>
      </c>
      <c r="U1058" s="5" t="s">
        <v>11986</v>
      </c>
      <c r="V1058" s="5" t="s">
        <v>11986</v>
      </c>
      <c r="W1058" s="5" t="s">
        <v>10753</v>
      </c>
      <c r="X1058" s="5" t="s">
        <v>10753</v>
      </c>
      <c r="Y1058" s="4">
        <v>1189</v>
      </c>
      <c r="Z1058" s="4">
        <v>1051</v>
      </c>
      <c r="AA1058" s="4">
        <v>1143</v>
      </c>
      <c r="AB1058" s="4">
        <v>7</v>
      </c>
      <c r="AC1058" s="4">
        <v>7</v>
      </c>
      <c r="AD1058" s="4">
        <v>34</v>
      </c>
      <c r="AE1058" s="4">
        <v>38</v>
      </c>
      <c r="AF1058" s="4">
        <v>12</v>
      </c>
      <c r="AG1058" s="4">
        <v>13</v>
      </c>
      <c r="AH1058" s="4">
        <v>9</v>
      </c>
      <c r="AI1058" s="4">
        <v>9</v>
      </c>
      <c r="AJ1058" s="4">
        <v>16</v>
      </c>
      <c r="AK1058" s="4">
        <v>20</v>
      </c>
      <c r="AL1058" s="4">
        <v>5</v>
      </c>
      <c r="AM1058" s="4">
        <v>5</v>
      </c>
      <c r="AN1058" s="4">
        <v>0</v>
      </c>
      <c r="AO1058" s="4">
        <v>0</v>
      </c>
      <c r="AP1058" s="3" t="s">
        <v>61</v>
      </c>
      <c r="AQ1058" s="3" t="s">
        <v>59</v>
      </c>
      <c r="AR1058" s="6" t="str">
        <f>HYPERLINK("http://catalog.hathitrust.org/Record/000255565","HathiTrust Record")</f>
        <v>HathiTrust Record</v>
      </c>
      <c r="AS1058" s="6" t="str">
        <f>HYPERLINK("https://creighton-primo.hosted.exlibrisgroup.com/primo-explore/search?tab=default_tab&amp;search_scope=EVERYTHING&amp;vid=01CRU&amp;lang=en_US&amp;offset=0&amp;query=any,contains,991004647239702656","Catalog Record")</f>
        <v>Catalog Record</v>
      </c>
      <c r="AT1058" s="6" t="str">
        <f>HYPERLINK("http://www.worldcat.org/oclc/4492539","WorldCat Record")</f>
        <v>WorldCat Record</v>
      </c>
      <c r="AU1058" s="3" t="s">
        <v>11987</v>
      </c>
      <c r="AV1058" s="3" t="s">
        <v>11988</v>
      </c>
      <c r="AW1058" s="3" t="s">
        <v>11989</v>
      </c>
      <c r="AX1058" s="3" t="s">
        <v>11989</v>
      </c>
      <c r="AY1058" s="3" t="s">
        <v>11990</v>
      </c>
      <c r="AZ1058" s="3" t="s">
        <v>75</v>
      </c>
      <c r="BB1058" s="3" t="s">
        <v>11991</v>
      </c>
      <c r="BC1058" s="3" t="s">
        <v>11992</v>
      </c>
      <c r="BD1058" s="3" t="s">
        <v>11993</v>
      </c>
    </row>
    <row r="1059" spans="1:56" ht="44.25" customHeight="1" x14ac:dyDescent="0.25">
      <c r="A1059" s="7" t="s">
        <v>61</v>
      </c>
      <c r="B1059" s="2" t="s">
        <v>11994</v>
      </c>
      <c r="C1059" s="2" t="s">
        <v>11995</v>
      </c>
      <c r="D1059" s="2" t="s">
        <v>11996</v>
      </c>
      <c r="F1059" s="3" t="s">
        <v>61</v>
      </c>
      <c r="G1059" s="3" t="s">
        <v>60</v>
      </c>
      <c r="H1059" s="3" t="s">
        <v>61</v>
      </c>
      <c r="I1059" s="3" t="s">
        <v>61</v>
      </c>
      <c r="J1059" s="3" t="s">
        <v>62</v>
      </c>
      <c r="K1059" s="2" t="s">
        <v>11997</v>
      </c>
      <c r="L1059" s="2" t="s">
        <v>11998</v>
      </c>
      <c r="M1059" s="3" t="s">
        <v>350</v>
      </c>
      <c r="O1059" s="3" t="s">
        <v>114</v>
      </c>
      <c r="P1059" s="3" t="s">
        <v>115</v>
      </c>
      <c r="R1059" s="3" t="s">
        <v>68</v>
      </c>
      <c r="S1059" s="4">
        <v>4</v>
      </c>
      <c r="T1059" s="4">
        <v>4</v>
      </c>
      <c r="U1059" s="5" t="s">
        <v>10574</v>
      </c>
      <c r="V1059" s="5" t="s">
        <v>10574</v>
      </c>
      <c r="W1059" s="5" t="s">
        <v>10753</v>
      </c>
      <c r="X1059" s="5" t="s">
        <v>10753</v>
      </c>
      <c r="Y1059" s="4">
        <v>1031</v>
      </c>
      <c r="Z1059" s="4">
        <v>888</v>
      </c>
      <c r="AA1059" s="4">
        <v>961</v>
      </c>
      <c r="AB1059" s="4">
        <v>6</v>
      </c>
      <c r="AC1059" s="4">
        <v>7</v>
      </c>
      <c r="AD1059" s="4">
        <v>40</v>
      </c>
      <c r="AE1059" s="4">
        <v>41</v>
      </c>
      <c r="AF1059" s="4">
        <v>13</v>
      </c>
      <c r="AG1059" s="4">
        <v>14</v>
      </c>
      <c r="AH1059" s="4">
        <v>8</v>
      </c>
      <c r="AI1059" s="4">
        <v>8</v>
      </c>
      <c r="AJ1059" s="4">
        <v>19</v>
      </c>
      <c r="AK1059" s="4">
        <v>19</v>
      </c>
      <c r="AL1059" s="4">
        <v>3</v>
      </c>
      <c r="AM1059" s="4">
        <v>3</v>
      </c>
      <c r="AN1059" s="4">
        <v>8</v>
      </c>
      <c r="AO1059" s="4">
        <v>8</v>
      </c>
      <c r="AP1059" s="3" t="s">
        <v>61</v>
      </c>
      <c r="AQ1059" s="3" t="s">
        <v>59</v>
      </c>
      <c r="AR1059" s="6" t="str">
        <f>HYPERLINK("http://catalog.hathitrust.org/Record/000022662","HathiTrust Record")</f>
        <v>HathiTrust Record</v>
      </c>
      <c r="AS1059" s="6" t="str">
        <f>HYPERLINK("https://creighton-primo.hosted.exlibrisgroup.com/primo-explore/search?tab=default_tab&amp;search_scope=EVERYTHING&amp;vid=01CRU&amp;lang=en_US&amp;offset=0&amp;query=any,contains,991004724859702656","Catalog Record")</f>
        <v>Catalog Record</v>
      </c>
      <c r="AT1059" s="6" t="str">
        <f>HYPERLINK("http://www.worldcat.org/oclc/4805238","WorldCat Record")</f>
        <v>WorldCat Record</v>
      </c>
      <c r="AU1059" s="3" t="s">
        <v>11999</v>
      </c>
      <c r="AV1059" s="3" t="s">
        <v>12000</v>
      </c>
      <c r="AW1059" s="3" t="s">
        <v>12001</v>
      </c>
      <c r="AX1059" s="3" t="s">
        <v>12001</v>
      </c>
      <c r="AY1059" s="3" t="s">
        <v>12002</v>
      </c>
      <c r="AZ1059" s="3" t="s">
        <v>75</v>
      </c>
      <c r="BB1059" s="3" t="s">
        <v>12003</v>
      </c>
      <c r="BC1059" s="3" t="s">
        <v>12004</v>
      </c>
      <c r="BD1059" s="3" t="s">
        <v>12005</v>
      </c>
    </row>
    <row r="1060" spans="1:56" ht="44.25" customHeight="1" x14ac:dyDescent="0.25">
      <c r="A1060" s="7" t="s">
        <v>61</v>
      </c>
      <c r="B1060" s="2" t="s">
        <v>12006</v>
      </c>
      <c r="C1060" s="2" t="s">
        <v>12007</v>
      </c>
      <c r="D1060" s="2" t="s">
        <v>12008</v>
      </c>
      <c r="F1060" s="3" t="s">
        <v>61</v>
      </c>
      <c r="G1060" s="3" t="s">
        <v>60</v>
      </c>
      <c r="H1060" s="3" t="s">
        <v>61</v>
      </c>
      <c r="I1060" s="3" t="s">
        <v>61</v>
      </c>
      <c r="J1060" s="3" t="s">
        <v>62</v>
      </c>
      <c r="K1060" s="2" t="s">
        <v>12009</v>
      </c>
      <c r="L1060" s="2" t="s">
        <v>12010</v>
      </c>
      <c r="M1060" s="3" t="s">
        <v>1596</v>
      </c>
      <c r="O1060" s="3" t="s">
        <v>114</v>
      </c>
      <c r="P1060" s="3" t="s">
        <v>235</v>
      </c>
      <c r="R1060" s="3" t="s">
        <v>68</v>
      </c>
      <c r="S1060" s="4">
        <v>12</v>
      </c>
      <c r="T1060" s="4">
        <v>12</v>
      </c>
      <c r="U1060" s="5" t="s">
        <v>11986</v>
      </c>
      <c r="V1060" s="5" t="s">
        <v>11986</v>
      </c>
      <c r="W1060" s="5" t="s">
        <v>10753</v>
      </c>
      <c r="X1060" s="5" t="s">
        <v>10753</v>
      </c>
      <c r="Y1060" s="4">
        <v>488</v>
      </c>
      <c r="Z1060" s="4">
        <v>441</v>
      </c>
      <c r="AA1060" s="4">
        <v>1199</v>
      </c>
      <c r="AB1060" s="4">
        <v>2</v>
      </c>
      <c r="AC1060" s="4">
        <v>8</v>
      </c>
      <c r="AD1060" s="4">
        <v>17</v>
      </c>
      <c r="AE1060" s="4">
        <v>44</v>
      </c>
      <c r="AF1060" s="4">
        <v>9</v>
      </c>
      <c r="AG1060" s="4">
        <v>20</v>
      </c>
      <c r="AH1060" s="4">
        <v>3</v>
      </c>
      <c r="AI1060" s="4">
        <v>9</v>
      </c>
      <c r="AJ1060" s="4">
        <v>8</v>
      </c>
      <c r="AK1060" s="4">
        <v>21</v>
      </c>
      <c r="AL1060" s="4">
        <v>1</v>
      </c>
      <c r="AM1060" s="4">
        <v>5</v>
      </c>
      <c r="AN1060" s="4">
        <v>0</v>
      </c>
      <c r="AO1060" s="4">
        <v>0</v>
      </c>
      <c r="AP1060" s="3" t="s">
        <v>61</v>
      </c>
      <c r="AQ1060" s="3" t="s">
        <v>59</v>
      </c>
      <c r="AR1060" s="6" t="str">
        <f>HYPERLINK("http://catalog.hathitrust.org/Record/004527409","HathiTrust Record")</f>
        <v>HathiTrust Record</v>
      </c>
      <c r="AS1060" s="6" t="str">
        <f>HYPERLINK("https://creighton-primo.hosted.exlibrisgroup.com/primo-explore/search?tab=default_tab&amp;search_scope=EVERYTHING&amp;vid=01CRU&amp;lang=en_US&amp;offset=0&amp;query=any,contains,991004045619702656","Catalog Record")</f>
        <v>Catalog Record</v>
      </c>
      <c r="AT1060" s="6" t="str">
        <f>HYPERLINK("http://www.worldcat.org/oclc/2200930","WorldCat Record")</f>
        <v>WorldCat Record</v>
      </c>
      <c r="AU1060" s="3" t="s">
        <v>12011</v>
      </c>
      <c r="AV1060" s="3" t="s">
        <v>12012</v>
      </c>
      <c r="AW1060" s="3" t="s">
        <v>12013</v>
      </c>
      <c r="AX1060" s="3" t="s">
        <v>12013</v>
      </c>
      <c r="AY1060" s="3" t="s">
        <v>12014</v>
      </c>
      <c r="AZ1060" s="3" t="s">
        <v>75</v>
      </c>
      <c r="BB1060" s="3" t="s">
        <v>12015</v>
      </c>
      <c r="BC1060" s="3" t="s">
        <v>12016</v>
      </c>
      <c r="BD1060" s="3" t="s">
        <v>12017</v>
      </c>
    </row>
    <row r="1061" spans="1:56" ht="44.25" customHeight="1" x14ac:dyDescent="0.25">
      <c r="A1061" s="7" t="s">
        <v>61</v>
      </c>
      <c r="B1061" s="2" t="s">
        <v>12018</v>
      </c>
      <c r="C1061" s="2" t="s">
        <v>12019</v>
      </c>
      <c r="D1061" s="2" t="s">
        <v>12020</v>
      </c>
      <c r="F1061" s="3" t="s">
        <v>61</v>
      </c>
      <c r="G1061" s="3" t="s">
        <v>60</v>
      </c>
      <c r="H1061" s="3" t="s">
        <v>61</v>
      </c>
      <c r="I1061" s="3" t="s">
        <v>61</v>
      </c>
      <c r="J1061" s="3" t="s">
        <v>62</v>
      </c>
      <c r="L1061" s="2" t="s">
        <v>12021</v>
      </c>
      <c r="M1061" s="3" t="s">
        <v>263</v>
      </c>
      <c r="O1061" s="3" t="s">
        <v>114</v>
      </c>
      <c r="P1061" s="3" t="s">
        <v>235</v>
      </c>
      <c r="R1061" s="3" t="s">
        <v>68</v>
      </c>
      <c r="S1061" s="4">
        <v>3</v>
      </c>
      <c r="T1061" s="4">
        <v>3</v>
      </c>
      <c r="U1061" s="5" t="s">
        <v>12022</v>
      </c>
      <c r="V1061" s="5" t="s">
        <v>12022</v>
      </c>
      <c r="W1061" s="5" t="s">
        <v>10753</v>
      </c>
      <c r="X1061" s="5" t="s">
        <v>10753</v>
      </c>
      <c r="Y1061" s="4">
        <v>756</v>
      </c>
      <c r="Z1061" s="4">
        <v>650</v>
      </c>
      <c r="AA1061" s="4">
        <v>705</v>
      </c>
      <c r="AB1061" s="4">
        <v>3</v>
      </c>
      <c r="AC1061" s="4">
        <v>3</v>
      </c>
      <c r="AD1061" s="4">
        <v>23</v>
      </c>
      <c r="AE1061" s="4">
        <v>26</v>
      </c>
      <c r="AF1061" s="4">
        <v>7</v>
      </c>
      <c r="AG1061" s="4">
        <v>8</v>
      </c>
      <c r="AH1061" s="4">
        <v>6</v>
      </c>
      <c r="AI1061" s="4">
        <v>6</v>
      </c>
      <c r="AJ1061" s="4">
        <v>12</v>
      </c>
      <c r="AK1061" s="4">
        <v>15</v>
      </c>
      <c r="AL1061" s="4">
        <v>2</v>
      </c>
      <c r="AM1061" s="4">
        <v>2</v>
      </c>
      <c r="AN1061" s="4">
        <v>0</v>
      </c>
      <c r="AO1061" s="4">
        <v>0</v>
      </c>
      <c r="AP1061" s="3" t="s">
        <v>61</v>
      </c>
      <c r="AQ1061" s="3" t="s">
        <v>59</v>
      </c>
      <c r="AR1061" s="6" t="str">
        <f>HYPERLINK("http://catalog.hathitrust.org/Record/000149213","HathiTrust Record")</f>
        <v>HathiTrust Record</v>
      </c>
      <c r="AS1061" s="6" t="str">
        <f>HYPERLINK("https://creighton-primo.hosted.exlibrisgroup.com/primo-explore/search?tab=default_tab&amp;search_scope=EVERYTHING&amp;vid=01CRU&amp;lang=en_US&amp;offset=0&amp;query=any,contains,991005207999702656","Catalog Record")</f>
        <v>Catalog Record</v>
      </c>
      <c r="AT1061" s="6" t="str">
        <f>HYPERLINK("http://www.worldcat.org/oclc/8132917","WorldCat Record")</f>
        <v>WorldCat Record</v>
      </c>
      <c r="AU1061" s="3" t="s">
        <v>12023</v>
      </c>
      <c r="AV1061" s="3" t="s">
        <v>12024</v>
      </c>
      <c r="AW1061" s="3" t="s">
        <v>12025</v>
      </c>
      <c r="AX1061" s="3" t="s">
        <v>12025</v>
      </c>
      <c r="AY1061" s="3" t="s">
        <v>12026</v>
      </c>
      <c r="AZ1061" s="3" t="s">
        <v>75</v>
      </c>
      <c r="BB1061" s="3" t="s">
        <v>12027</v>
      </c>
      <c r="BC1061" s="3" t="s">
        <v>12028</v>
      </c>
      <c r="BD1061" s="3" t="s">
        <v>12029</v>
      </c>
    </row>
    <row r="1062" spans="1:56" ht="44.25" customHeight="1" x14ac:dyDescent="0.25">
      <c r="A1062" s="7" t="s">
        <v>61</v>
      </c>
      <c r="B1062" s="2" t="s">
        <v>12030</v>
      </c>
      <c r="C1062" s="2" t="s">
        <v>12031</v>
      </c>
      <c r="D1062" s="2" t="s">
        <v>12032</v>
      </c>
      <c r="F1062" s="3" t="s">
        <v>61</v>
      </c>
      <c r="G1062" s="3" t="s">
        <v>60</v>
      </c>
      <c r="H1062" s="3" t="s">
        <v>61</v>
      </c>
      <c r="I1062" s="3" t="s">
        <v>61</v>
      </c>
      <c r="J1062" s="3" t="s">
        <v>62</v>
      </c>
      <c r="K1062" s="2" t="s">
        <v>4612</v>
      </c>
      <c r="L1062" s="2" t="s">
        <v>10438</v>
      </c>
      <c r="M1062" s="3" t="s">
        <v>1074</v>
      </c>
      <c r="O1062" s="3" t="s">
        <v>114</v>
      </c>
      <c r="P1062" s="3" t="s">
        <v>192</v>
      </c>
      <c r="R1062" s="3" t="s">
        <v>68</v>
      </c>
      <c r="S1062" s="4">
        <v>11</v>
      </c>
      <c r="T1062" s="4">
        <v>11</v>
      </c>
      <c r="U1062" s="5" t="s">
        <v>12033</v>
      </c>
      <c r="V1062" s="5" t="s">
        <v>12033</v>
      </c>
      <c r="W1062" s="5" t="s">
        <v>10053</v>
      </c>
      <c r="X1062" s="5" t="s">
        <v>10053</v>
      </c>
      <c r="Y1062" s="4">
        <v>338</v>
      </c>
      <c r="Z1062" s="4">
        <v>106</v>
      </c>
      <c r="AA1062" s="4">
        <v>127</v>
      </c>
      <c r="AB1062" s="4">
        <v>3</v>
      </c>
      <c r="AC1062" s="4">
        <v>3</v>
      </c>
      <c r="AD1062" s="4">
        <v>5</v>
      </c>
      <c r="AE1062" s="4">
        <v>5</v>
      </c>
      <c r="AF1062" s="4">
        <v>0</v>
      </c>
      <c r="AG1062" s="4">
        <v>0</v>
      </c>
      <c r="AH1062" s="4">
        <v>1</v>
      </c>
      <c r="AI1062" s="4">
        <v>1</v>
      </c>
      <c r="AJ1062" s="4">
        <v>3</v>
      </c>
      <c r="AK1062" s="4">
        <v>3</v>
      </c>
      <c r="AL1062" s="4">
        <v>2</v>
      </c>
      <c r="AM1062" s="4">
        <v>2</v>
      </c>
      <c r="AN1062" s="4">
        <v>0</v>
      </c>
      <c r="AO1062" s="4">
        <v>0</v>
      </c>
      <c r="AP1062" s="3" t="s">
        <v>61</v>
      </c>
      <c r="AQ1062" s="3" t="s">
        <v>59</v>
      </c>
      <c r="AR1062" s="6" t="str">
        <f>HYPERLINK("http://catalog.hathitrust.org/Record/000478594","HathiTrust Record")</f>
        <v>HathiTrust Record</v>
      </c>
      <c r="AS1062" s="6" t="str">
        <f>HYPERLINK("https://creighton-primo.hosted.exlibrisgroup.com/primo-explore/search?tab=default_tab&amp;search_scope=EVERYTHING&amp;vid=01CRU&amp;lang=en_US&amp;offset=0&amp;query=any,contains,991000697519702656","Catalog Record")</f>
        <v>Catalog Record</v>
      </c>
      <c r="AT1062" s="6" t="str">
        <f>HYPERLINK("http://www.worldcat.org/oclc/15223149","WorldCat Record")</f>
        <v>WorldCat Record</v>
      </c>
      <c r="AU1062" s="3" t="s">
        <v>12034</v>
      </c>
      <c r="AV1062" s="3" t="s">
        <v>12035</v>
      </c>
      <c r="AW1062" s="3" t="s">
        <v>12036</v>
      </c>
      <c r="AX1062" s="3" t="s">
        <v>12036</v>
      </c>
      <c r="AY1062" s="3" t="s">
        <v>12037</v>
      </c>
      <c r="AZ1062" s="3" t="s">
        <v>75</v>
      </c>
      <c r="BB1062" s="3" t="s">
        <v>12038</v>
      </c>
      <c r="BC1062" s="3" t="s">
        <v>12039</v>
      </c>
      <c r="BD1062" s="3" t="s">
        <v>12040</v>
      </c>
    </row>
    <row r="1063" spans="1:56" ht="44.25" customHeight="1" x14ac:dyDescent="0.25">
      <c r="A1063" s="7" t="s">
        <v>61</v>
      </c>
      <c r="B1063" s="2" t="s">
        <v>12041</v>
      </c>
      <c r="C1063" s="2" t="s">
        <v>12042</v>
      </c>
      <c r="D1063" s="2" t="s">
        <v>12043</v>
      </c>
      <c r="F1063" s="3" t="s">
        <v>61</v>
      </c>
      <c r="G1063" s="3" t="s">
        <v>60</v>
      </c>
      <c r="H1063" s="3" t="s">
        <v>61</v>
      </c>
      <c r="I1063" s="3" t="s">
        <v>61</v>
      </c>
      <c r="J1063" s="3" t="s">
        <v>62</v>
      </c>
      <c r="L1063" s="2" t="s">
        <v>12044</v>
      </c>
      <c r="M1063" s="3" t="s">
        <v>1074</v>
      </c>
      <c r="O1063" s="3" t="s">
        <v>114</v>
      </c>
      <c r="P1063" s="3" t="s">
        <v>1114</v>
      </c>
      <c r="R1063" s="3" t="s">
        <v>68</v>
      </c>
      <c r="S1063" s="4">
        <v>3</v>
      </c>
      <c r="T1063" s="4">
        <v>3</v>
      </c>
      <c r="U1063" s="5" t="s">
        <v>12045</v>
      </c>
      <c r="V1063" s="5" t="s">
        <v>12045</v>
      </c>
      <c r="W1063" s="5" t="s">
        <v>10753</v>
      </c>
      <c r="X1063" s="5" t="s">
        <v>10753</v>
      </c>
      <c r="Y1063" s="4">
        <v>788</v>
      </c>
      <c r="Z1063" s="4">
        <v>689</v>
      </c>
      <c r="AA1063" s="4">
        <v>693</v>
      </c>
      <c r="AB1063" s="4">
        <v>1</v>
      </c>
      <c r="AC1063" s="4">
        <v>1</v>
      </c>
      <c r="AD1063" s="4">
        <v>34</v>
      </c>
      <c r="AE1063" s="4">
        <v>34</v>
      </c>
      <c r="AF1063" s="4">
        <v>14</v>
      </c>
      <c r="AG1063" s="4">
        <v>14</v>
      </c>
      <c r="AH1063" s="4">
        <v>7</v>
      </c>
      <c r="AI1063" s="4">
        <v>7</v>
      </c>
      <c r="AJ1063" s="4">
        <v>20</v>
      </c>
      <c r="AK1063" s="4">
        <v>20</v>
      </c>
      <c r="AL1063" s="4">
        <v>0</v>
      </c>
      <c r="AM1063" s="4">
        <v>0</v>
      </c>
      <c r="AN1063" s="4">
        <v>1</v>
      </c>
      <c r="AO1063" s="4">
        <v>1</v>
      </c>
      <c r="AP1063" s="3" t="s">
        <v>61</v>
      </c>
      <c r="AQ1063" s="3" t="s">
        <v>61</v>
      </c>
      <c r="AS1063" s="6" t="str">
        <f>HYPERLINK("https://creighton-primo.hosted.exlibrisgroup.com/primo-explore/search?tab=default_tab&amp;search_scope=EVERYTHING&amp;vid=01CRU&amp;lang=en_US&amp;offset=0&amp;query=any,contains,991000542739702656","Catalog Record")</f>
        <v>Catalog Record</v>
      </c>
      <c r="AT1063" s="6" t="str">
        <f>HYPERLINK("http://www.worldcat.org/oclc/11497131","WorldCat Record")</f>
        <v>WorldCat Record</v>
      </c>
      <c r="AU1063" s="3" t="s">
        <v>12046</v>
      </c>
      <c r="AV1063" s="3" t="s">
        <v>12047</v>
      </c>
      <c r="AW1063" s="3" t="s">
        <v>12048</v>
      </c>
      <c r="AX1063" s="3" t="s">
        <v>12048</v>
      </c>
      <c r="AY1063" s="3" t="s">
        <v>12049</v>
      </c>
      <c r="AZ1063" s="3" t="s">
        <v>75</v>
      </c>
      <c r="BB1063" s="3" t="s">
        <v>12050</v>
      </c>
      <c r="BC1063" s="3" t="s">
        <v>12051</v>
      </c>
      <c r="BD1063" s="3" t="s">
        <v>12052</v>
      </c>
    </row>
    <row r="1064" spans="1:56" ht="44.25" customHeight="1" x14ac:dyDescent="0.25">
      <c r="A1064" s="7" t="s">
        <v>61</v>
      </c>
      <c r="B1064" s="2" t="s">
        <v>12053</v>
      </c>
      <c r="C1064" s="2" t="s">
        <v>12054</v>
      </c>
      <c r="D1064" s="2" t="s">
        <v>12055</v>
      </c>
      <c r="F1064" s="3" t="s">
        <v>61</v>
      </c>
      <c r="G1064" s="3" t="s">
        <v>60</v>
      </c>
      <c r="H1064" s="3" t="s">
        <v>61</v>
      </c>
      <c r="I1064" s="3" t="s">
        <v>61</v>
      </c>
      <c r="J1064" s="3" t="s">
        <v>62</v>
      </c>
      <c r="K1064" s="2" t="s">
        <v>12056</v>
      </c>
      <c r="L1064" s="2" t="s">
        <v>12057</v>
      </c>
      <c r="M1064" s="3" t="s">
        <v>784</v>
      </c>
      <c r="O1064" s="3" t="s">
        <v>114</v>
      </c>
      <c r="P1064" s="3" t="s">
        <v>235</v>
      </c>
      <c r="R1064" s="3" t="s">
        <v>68</v>
      </c>
      <c r="S1064" s="4">
        <v>1</v>
      </c>
      <c r="T1064" s="4">
        <v>1</v>
      </c>
      <c r="U1064" s="5" t="s">
        <v>12058</v>
      </c>
      <c r="V1064" s="5" t="s">
        <v>12058</v>
      </c>
      <c r="W1064" s="5" t="s">
        <v>12059</v>
      </c>
      <c r="X1064" s="5" t="s">
        <v>12059</v>
      </c>
      <c r="Y1064" s="4">
        <v>1459</v>
      </c>
      <c r="Z1064" s="4">
        <v>1354</v>
      </c>
      <c r="AA1064" s="4">
        <v>1637</v>
      </c>
      <c r="AB1064" s="4">
        <v>12</v>
      </c>
      <c r="AC1064" s="4">
        <v>14</v>
      </c>
      <c r="AD1064" s="4">
        <v>37</v>
      </c>
      <c r="AE1064" s="4">
        <v>50</v>
      </c>
      <c r="AF1064" s="4">
        <v>17</v>
      </c>
      <c r="AG1064" s="4">
        <v>24</v>
      </c>
      <c r="AH1064" s="4">
        <v>5</v>
      </c>
      <c r="AI1064" s="4">
        <v>8</v>
      </c>
      <c r="AJ1064" s="4">
        <v>16</v>
      </c>
      <c r="AK1064" s="4">
        <v>21</v>
      </c>
      <c r="AL1064" s="4">
        <v>7</v>
      </c>
      <c r="AM1064" s="4">
        <v>9</v>
      </c>
      <c r="AN1064" s="4">
        <v>0</v>
      </c>
      <c r="AO1064" s="4">
        <v>0</v>
      </c>
      <c r="AP1064" s="3" t="s">
        <v>61</v>
      </c>
      <c r="AQ1064" s="3" t="s">
        <v>59</v>
      </c>
      <c r="AR1064" s="6" t="str">
        <f>HYPERLINK("http://catalog.hathitrust.org/Record/000005188","HathiTrust Record")</f>
        <v>HathiTrust Record</v>
      </c>
      <c r="AS1064" s="6" t="str">
        <f>HYPERLINK("https://creighton-primo.hosted.exlibrisgroup.com/primo-explore/search?tab=default_tab&amp;search_scope=EVERYTHING&amp;vid=01CRU&amp;lang=en_US&amp;offset=0&amp;query=any,contains,991002507089702656","Catalog Record")</f>
        <v>Catalog Record</v>
      </c>
      <c r="AT1064" s="6" t="str">
        <f>HYPERLINK("http://www.worldcat.org/oclc/364784","WorldCat Record")</f>
        <v>WorldCat Record</v>
      </c>
      <c r="AU1064" s="3" t="s">
        <v>12060</v>
      </c>
      <c r="AV1064" s="3" t="s">
        <v>12061</v>
      </c>
      <c r="AW1064" s="3" t="s">
        <v>12062</v>
      </c>
      <c r="AX1064" s="3" t="s">
        <v>12062</v>
      </c>
      <c r="AY1064" s="3" t="s">
        <v>12063</v>
      </c>
      <c r="AZ1064" s="3" t="s">
        <v>75</v>
      </c>
      <c r="BC1064" s="3" t="s">
        <v>12064</v>
      </c>
      <c r="BD1064" s="3" t="s">
        <v>12065</v>
      </c>
    </row>
    <row r="1065" spans="1:56" ht="44.25" customHeight="1" x14ac:dyDescent="0.25">
      <c r="A1065" s="7" t="s">
        <v>61</v>
      </c>
      <c r="B1065" s="2" t="s">
        <v>12066</v>
      </c>
      <c r="C1065" s="2" t="s">
        <v>12067</v>
      </c>
      <c r="D1065" s="2" t="s">
        <v>12068</v>
      </c>
      <c r="F1065" s="3" t="s">
        <v>61</v>
      </c>
      <c r="G1065" s="3" t="s">
        <v>60</v>
      </c>
      <c r="H1065" s="3" t="s">
        <v>61</v>
      </c>
      <c r="I1065" s="3" t="s">
        <v>61</v>
      </c>
      <c r="J1065" s="3" t="s">
        <v>62</v>
      </c>
      <c r="L1065" s="2" t="s">
        <v>12069</v>
      </c>
      <c r="M1065" s="3" t="s">
        <v>234</v>
      </c>
      <c r="O1065" s="3" t="s">
        <v>114</v>
      </c>
      <c r="P1065" s="3" t="s">
        <v>619</v>
      </c>
      <c r="R1065" s="3" t="s">
        <v>68</v>
      </c>
      <c r="S1065" s="4">
        <v>16</v>
      </c>
      <c r="T1065" s="4">
        <v>16</v>
      </c>
      <c r="U1065" s="5" t="s">
        <v>12070</v>
      </c>
      <c r="V1065" s="5" t="s">
        <v>12070</v>
      </c>
      <c r="W1065" s="5" t="s">
        <v>12071</v>
      </c>
      <c r="X1065" s="5" t="s">
        <v>12071</v>
      </c>
      <c r="Y1065" s="4">
        <v>106</v>
      </c>
      <c r="Z1065" s="4">
        <v>97</v>
      </c>
      <c r="AA1065" s="4">
        <v>98</v>
      </c>
      <c r="AB1065" s="4">
        <v>2</v>
      </c>
      <c r="AC1065" s="4">
        <v>2</v>
      </c>
      <c r="AD1065" s="4">
        <v>10</v>
      </c>
      <c r="AE1065" s="4">
        <v>10</v>
      </c>
      <c r="AF1065" s="4">
        <v>2</v>
      </c>
      <c r="AG1065" s="4">
        <v>2</v>
      </c>
      <c r="AH1065" s="4">
        <v>3</v>
      </c>
      <c r="AI1065" s="4">
        <v>3</v>
      </c>
      <c r="AJ1065" s="4">
        <v>5</v>
      </c>
      <c r="AK1065" s="4">
        <v>5</v>
      </c>
      <c r="AL1065" s="4">
        <v>1</v>
      </c>
      <c r="AM1065" s="4">
        <v>1</v>
      </c>
      <c r="AN1065" s="4">
        <v>0</v>
      </c>
      <c r="AO1065" s="4">
        <v>0</v>
      </c>
      <c r="AP1065" s="3" t="s">
        <v>61</v>
      </c>
      <c r="AQ1065" s="3" t="s">
        <v>61</v>
      </c>
      <c r="AS1065" s="6" t="str">
        <f>HYPERLINK("https://creighton-primo.hosted.exlibrisgroup.com/primo-explore/search?tab=default_tab&amp;search_scope=EVERYTHING&amp;vid=01CRU&amp;lang=en_US&amp;offset=0&amp;query=any,contains,991000371539702656","Catalog Record")</f>
        <v>Catalog Record</v>
      </c>
      <c r="AT1065" s="6" t="str">
        <f>HYPERLINK("http://www.worldcat.org/oclc/10430992","WorldCat Record")</f>
        <v>WorldCat Record</v>
      </c>
      <c r="AU1065" s="3" t="s">
        <v>12072</v>
      </c>
      <c r="AV1065" s="3" t="s">
        <v>12073</v>
      </c>
      <c r="AW1065" s="3" t="s">
        <v>12074</v>
      </c>
      <c r="AX1065" s="3" t="s">
        <v>12074</v>
      </c>
      <c r="AY1065" s="3" t="s">
        <v>12075</v>
      </c>
      <c r="AZ1065" s="3" t="s">
        <v>75</v>
      </c>
      <c r="BC1065" s="3" t="s">
        <v>12076</v>
      </c>
      <c r="BD1065" s="3" t="s">
        <v>12077</v>
      </c>
    </row>
    <row r="1066" spans="1:56" ht="44.25" customHeight="1" x14ac:dyDescent="0.25">
      <c r="A1066" s="7" t="s">
        <v>61</v>
      </c>
      <c r="B1066" s="2" t="s">
        <v>12078</v>
      </c>
      <c r="C1066" s="2" t="s">
        <v>12079</v>
      </c>
      <c r="D1066" s="2" t="s">
        <v>12080</v>
      </c>
      <c r="F1066" s="3" t="s">
        <v>61</v>
      </c>
      <c r="G1066" s="3" t="s">
        <v>60</v>
      </c>
      <c r="H1066" s="3" t="s">
        <v>61</v>
      </c>
      <c r="I1066" s="3" t="s">
        <v>61</v>
      </c>
      <c r="J1066" s="3" t="s">
        <v>62</v>
      </c>
      <c r="K1066" s="2" t="s">
        <v>12081</v>
      </c>
      <c r="L1066" s="2" t="s">
        <v>12082</v>
      </c>
      <c r="M1066" s="3" t="s">
        <v>755</v>
      </c>
      <c r="O1066" s="3" t="s">
        <v>114</v>
      </c>
      <c r="P1066" s="3" t="s">
        <v>649</v>
      </c>
      <c r="R1066" s="3" t="s">
        <v>68</v>
      </c>
      <c r="S1066" s="4">
        <v>12</v>
      </c>
      <c r="T1066" s="4">
        <v>12</v>
      </c>
      <c r="U1066" s="5" t="s">
        <v>12083</v>
      </c>
      <c r="V1066" s="5" t="s">
        <v>12083</v>
      </c>
      <c r="W1066" s="5" t="s">
        <v>2447</v>
      </c>
      <c r="X1066" s="5" t="s">
        <v>2447</v>
      </c>
      <c r="Y1066" s="4">
        <v>295</v>
      </c>
      <c r="Z1066" s="4">
        <v>268</v>
      </c>
      <c r="AA1066" s="4">
        <v>789</v>
      </c>
      <c r="AB1066" s="4">
        <v>3</v>
      </c>
      <c r="AC1066" s="4">
        <v>4</v>
      </c>
      <c r="AD1066" s="4">
        <v>16</v>
      </c>
      <c r="AE1066" s="4">
        <v>35</v>
      </c>
      <c r="AF1066" s="4">
        <v>5</v>
      </c>
      <c r="AG1066" s="4">
        <v>16</v>
      </c>
      <c r="AH1066" s="4">
        <v>2</v>
      </c>
      <c r="AI1066" s="4">
        <v>6</v>
      </c>
      <c r="AJ1066" s="4">
        <v>9</v>
      </c>
      <c r="AK1066" s="4">
        <v>19</v>
      </c>
      <c r="AL1066" s="4">
        <v>2</v>
      </c>
      <c r="AM1066" s="4">
        <v>3</v>
      </c>
      <c r="AN1066" s="4">
        <v>0</v>
      </c>
      <c r="AO1066" s="4">
        <v>0</v>
      </c>
      <c r="AP1066" s="3" t="s">
        <v>61</v>
      </c>
      <c r="AQ1066" s="3" t="s">
        <v>59</v>
      </c>
      <c r="AR1066" s="6" t="str">
        <f>HYPERLINK("http://catalog.hathitrust.org/Record/000809018","HathiTrust Record")</f>
        <v>HathiTrust Record</v>
      </c>
      <c r="AS1066" s="6" t="str">
        <f>HYPERLINK("https://creighton-primo.hosted.exlibrisgroup.com/primo-explore/search?tab=default_tab&amp;search_scope=EVERYTHING&amp;vid=01CRU&amp;lang=en_US&amp;offset=0&amp;query=any,contains,991000835449702656","Catalog Record")</f>
        <v>Catalog Record</v>
      </c>
      <c r="AT1066" s="6" t="str">
        <f>HYPERLINK("http://www.worldcat.org/oclc/148566","WorldCat Record")</f>
        <v>WorldCat Record</v>
      </c>
      <c r="AU1066" s="3" t="s">
        <v>12084</v>
      </c>
      <c r="AV1066" s="3" t="s">
        <v>12085</v>
      </c>
      <c r="AW1066" s="3" t="s">
        <v>12086</v>
      </c>
      <c r="AX1066" s="3" t="s">
        <v>12086</v>
      </c>
      <c r="AY1066" s="3" t="s">
        <v>12087</v>
      </c>
      <c r="AZ1066" s="3" t="s">
        <v>75</v>
      </c>
      <c r="BC1066" s="3" t="s">
        <v>12088</v>
      </c>
      <c r="BD1066" s="3" t="s">
        <v>12089</v>
      </c>
    </row>
    <row r="1067" spans="1:56" ht="44.25" customHeight="1" x14ac:dyDescent="0.25">
      <c r="A1067" s="7" t="s">
        <v>61</v>
      </c>
      <c r="B1067" s="2" t="s">
        <v>12090</v>
      </c>
      <c r="C1067" s="2" t="s">
        <v>12091</v>
      </c>
      <c r="D1067" s="2" t="s">
        <v>12092</v>
      </c>
      <c r="F1067" s="3" t="s">
        <v>61</v>
      </c>
      <c r="G1067" s="3" t="s">
        <v>60</v>
      </c>
      <c r="H1067" s="3" t="s">
        <v>61</v>
      </c>
      <c r="I1067" s="3" t="s">
        <v>61</v>
      </c>
      <c r="J1067" s="3" t="s">
        <v>62</v>
      </c>
      <c r="K1067" s="2" t="s">
        <v>12093</v>
      </c>
      <c r="L1067" s="2" t="s">
        <v>12094</v>
      </c>
      <c r="M1067" s="3" t="s">
        <v>466</v>
      </c>
      <c r="O1067" s="3" t="s">
        <v>114</v>
      </c>
      <c r="P1067" s="3" t="s">
        <v>235</v>
      </c>
      <c r="R1067" s="3" t="s">
        <v>68</v>
      </c>
      <c r="S1067" s="4">
        <v>6</v>
      </c>
      <c r="T1067" s="4">
        <v>6</v>
      </c>
      <c r="U1067" s="5" t="s">
        <v>12095</v>
      </c>
      <c r="V1067" s="5" t="s">
        <v>12095</v>
      </c>
      <c r="W1067" s="5" t="s">
        <v>12096</v>
      </c>
      <c r="X1067" s="5" t="s">
        <v>12096</v>
      </c>
      <c r="Y1067" s="4">
        <v>699</v>
      </c>
      <c r="Z1067" s="4">
        <v>660</v>
      </c>
      <c r="AA1067" s="4">
        <v>670</v>
      </c>
      <c r="AB1067" s="4">
        <v>6</v>
      </c>
      <c r="AC1067" s="4">
        <v>6</v>
      </c>
      <c r="AD1067" s="4">
        <v>17</v>
      </c>
      <c r="AE1067" s="4">
        <v>17</v>
      </c>
      <c r="AF1067" s="4">
        <v>2</v>
      </c>
      <c r="AG1067" s="4">
        <v>2</v>
      </c>
      <c r="AH1067" s="4">
        <v>3</v>
      </c>
      <c r="AI1067" s="4">
        <v>3</v>
      </c>
      <c r="AJ1067" s="4">
        <v>14</v>
      </c>
      <c r="AK1067" s="4">
        <v>14</v>
      </c>
      <c r="AL1067" s="4">
        <v>1</v>
      </c>
      <c r="AM1067" s="4">
        <v>1</v>
      </c>
      <c r="AN1067" s="4">
        <v>0</v>
      </c>
      <c r="AO1067" s="4">
        <v>0</v>
      </c>
      <c r="AP1067" s="3" t="s">
        <v>61</v>
      </c>
      <c r="AQ1067" s="3" t="s">
        <v>59</v>
      </c>
      <c r="AR1067" s="6" t="str">
        <f>HYPERLINK("http://catalog.hathitrust.org/Record/000752919","HathiTrust Record")</f>
        <v>HathiTrust Record</v>
      </c>
      <c r="AS1067" s="6" t="str">
        <f>HYPERLINK("https://creighton-primo.hosted.exlibrisgroup.com/primo-explore/search?tab=default_tab&amp;search_scope=EVERYTHING&amp;vid=01CRU&amp;lang=en_US&amp;offset=0&amp;query=any,contains,991004438349702656","Catalog Record")</f>
        <v>Catalog Record</v>
      </c>
      <c r="AT1067" s="6" t="str">
        <f>HYPERLINK("http://www.worldcat.org/oclc/3447420","WorldCat Record")</f>
        <v>WorldCat Record</v>
      </c>
      <c r="AU1067" s="3" t="s">
        <v>12097</v>
      </c>
      <c r="AV1067" s="3" t="s">
        <v>12098</v>
      </c>
      <c r="AW1067" s="3" t="s">
        <v>12099</v>
      </c>
      <c r="AX1067" s="3" t="s">
        <v>12099</v>
      </c>
      <c r="AY1067" s="3" t="s">
        <v>12100</v>
      </c>
      <c r="AZ1067" s="3" t="s">
        <v>75</v>
      </c>
      <c r="BB1067" s="3" t="s">
        <v>12101</v>
      </c>
      <c r="BC1067" s="3" t="s">
        <v>12102</v>
      </c>
      <c r="BD1067" s="3" t="s">
        <v>12103</v>
      </c>
    </row>
    <row r="1068" spans="1:56" ht="44.25" customHeight="1" x14ac:dyDescent="0.25">
      <c r="A1068" s="7" t="s">
        <v>61</v>
      </c>
      <c r="B1068" s="2" t="s">
        <v>12104</v>
      </c>
      <c r="C1068" s="2" t="s">
        <v>12105</v>
      </c>
      <c r="D1068" s="2" t="s">
        <v>12106</v>
      </c>
      <c r="F1068" s="3" t="s">
        <v>61</v>
      </c>
      <c r="G1068" s="3" t="s">
        <v>60</v>
      </c>
      <c r="H1068" s="3" t="s">
        <v>61</v>
      </c>
      <c r="I1068" s="3" t="s">
        <v>61</v>
      </c>
      <c r="J1068" s="3" t="s">
        <v>62</v>
      </c>
      <c r="K1068" s="2" t="s">
        <v>12107</v>
      </c>
      <c r="L1068" s="2" t="s">
        <v>12108</v>
      </c>
      <c r="M1068" s="3" t="s">
        <v>2323</v>
      </c>
      <c r="O1068" s="3" t="s">
        <v>114</v>
      </c>
      <c r="P1068" s="3" t="s">
        <v>235</v>
      </c>
      <c r="R1068" s="3" t="s">
        <v>68</v>
      </c>
      <c r="S1068" s="4">
        <v>1</v>
      </c>
      <c r="T1068" s="4">
        <v>1</v>
      </c>
      <c r="U1068" s="5" t="s">
        <v>8526</v>
      </c>
      <c r="V1068" s="5" t="s">
        <v>8526</v>
      </c>
      <c r="W1068" s="5" t="s">
        <v>8526</v>
      </c>
      <c r="X1068" s="5" t="s">
        <v>8526</v>
      </c>
      <c r="Y1068" s="4">
        <v>389</v>
      </c>
      <c r="Z1068" s="4">
        <v>357</v>
      </c>
      <c r="AA1068" s="4">
        <v>696</v>
      </c>
      <c r="AB1068" s="4">
        <v>2</v>
      </c>
      <c r="AC1068" s="4">
        <v>3</v>
      </c>
      <c r="AD1068" s="4">
        <v>12</v>
      </c>
      <c r="AE1068" s="4">
        <v>21</v>
      </c>
      <c r="AF1068" s="4">
        <v>7</v>
      </c>
      <c r="AG1068" s="4">
        <v>13</v>
      </c>
      <c r="AH1068" s="4">
        <v>2</v>
      </c>
      <c r="AI1068" s="4">
        <v>4</v>
      </c>
      <c r="AJ1068" s="4">
        <v>7</v>
      </c>
      <c r="AK1068" s="4">
        <v>8</v>
      </c>
      <c r="AL1068" s="4">
        <v>0</v>
      </c>
      <c r="AM1068" s="4">
        <v>1</v>
      </c>
      <c r="AN1068" s="4">
        <v>0</v>
      </c>
      <c r="AO1068" s="4">
        <v>0</v>
      </c>
      <c r="AP1068" s="3" t="s">
        <v>61</v>
      </c>
      <c r="AQ1068" s="3" t="s">
        <v>61</v>
      </c>
      <c r="AS1068" s="6" t="str">
        <f>HYPERLINK("https://creighton-primo.hosted.exlibrisgroup.com/primo-explore/search?tab=default_tab&amp;search_scope=EVERYTHING&amp;vid=01CRU&amp;lang=en_US&amp;offset=0&amp;query=any,contains,991004481569702656","Catalog Record")</f>
        <v>Catalog Record</v>
      </c>
      <c r="AT1068" s="6" t="str">
        <f>HYPERLINK("http://www.worldcat.org/oclc/55729923","WorldCat Record")</f>
        <v>WorldCat Record</v>
      </c>
      <c r="AU1068" s="3" t="s">
        <v>12109</v>
      </c>
      <c r="AV1068" s="3" t="s">
        <v>12110</v>
      </c>
      <c r="AW1068" s="3" t="s">
        <v>12111</v>
      </c>
      <c r="AX1068" s="3" t="s">
        <v>12111</v>
      </c>
      <c r="AY1068" s="3" t="s">
        <v>12112</v>
      </c>
      <c r="AZ1068" s="3" t="s">
        <v>75</v>
      </c>
      <c r="BB1068" s="3" t="s">
        <v>12113</v>
      </c>
      <c r="BC1068" s="3" t="s">
        <v>12114</v>
      </c>
      <c r="BD1068" s="3" t="s">
        <v>12115</v>
      </c>
    </row>
    <row r="1069" spans="1:56" ht="44.25" customHeight="1" x14ac:dyDescent="0.25">
      <c r="A1069" s="7" t="s">
        <v>61</v>
      </c>
      <c r="B1069" s="2" t="s">
        <v>12116</v>
      </c>
      <c r="C1069" s="2" t="s">
        <v>12117</v>
      </c>
      <c r="D1069" s="2" t="s">
        <v>12118</v>
      </c>
      <c r="F1069" s="3" t="s">
        <v>61</v>
      </c>
      <c r="G1069" s="3" t="s">
        <v>60</v>
      </c>
      <c r="H1069" s="3" t="s">
        <v>61</v>
      </c>
      <c r="I1069" s="3" t="s">
        <v>61</v>
      </c>
      <c r="J1069" s="3" t="s">
        <v>62</v>
      </c>
      <c r="K1069" s="2" t="s">
        <v>12119</v>
      </c>
      <c r="L1069" s="2" t="s">
        <v>12120</v>
      </c>
      <c r="M1069" s="3" t="s">
        <v>1507</v>
      </c>
      <c r="O1069" s="3" t="s">
        <v>114</v>
      </c>
      <c r="P1069" s="3" t="s">
        <v>192</v>
      </c>
      <c r="R1069" s="3" t="s">
        <v>68</v>
      </c>
      <c r="S1069" s="4">
        <v>5</v>
      </c>
      <c r="T1069" s="4">
        <v>5</v>
      </c>
      <c r="U1069" s="5" t="s">
        <v>12121</v>
      </c>
      <c r="V1069" s="5" t="s">
        <v>12121</v>
      </c>
      <c r="W1069" s="5" t="s">
        <v>12122</v>
      </c>
      <c r="X1069" s="5" t="s">
        <v>12122</v>
      </c>
      <c r="Y1069" s="4">
        <v>556</v>
      </c>
      <c r="Z1069" s="4">
        <v>458</v>
      </c>
      <c r="AA1069" s="4">
        <v>514</v>
      </c>
      <c r="AB1069" s="4">
        <v>2</v>
      </c>
      <c r="AC1069" s="4">
        <v>3</v>
      </c>
      <c r="AD1069" s="4">
        <v>12</v>
      </c>
      <c r="AE1069" s="4">
        <v>15</v>
      </c>
      <c r="AF1069" s="4">
        <v>4</v>
      </c>
      <c r="AG1069" s="4">
        <v>6</v>
      </c>
      <c r="AH1069" s="4">
        <v>4</v>
      </c>
      <c r="AI1069" s="4">
        <v>4</v>
      </c>
      <c r="AJ1069" s="4">
        <v>6</v>
      </c>
      <c r="AK1069" s="4">
        <v>7</v>
      </c>
      <c r="AL1069" s="4">
        <v>1</v>
      </c>
      <c r="AM1069" s="4">
        <v>2</v>
      </c>
      <c r="AN1069" s="4">
        <v>0</v>
      </c>
      <c r="AO1069" s="4">
        <v>0</v>
      </c>
      <c r="AP1069" s="3" t="s">
        <v>61</v>
      </c>
      <c r="AQ1069" s="3" t="s">
        <v>61</v>
      </c>
      <c r="AS1069" s="6" t="str">
        <f>HYPERLINK("https://creighton-primo.hosted.exlibrisgroup.com/primo-explore/search?tab=default_tab&amp;search_scope=EVERYTHING&amp;vid=01CRU&amp;lang=en_US&amp;offset=0&amp;query=any,contains,991003405889702656","Catalog Record")</f>
        <v>Catalog Record</v>
      </c>
      <c r="AT1069" s="6" t="str">
        <f>HYPERLINK("http://www.worldcat.org/oclc/945791","WorldCat Record")</f>
        <v>WorldCat Record</v>
      </c>
      <c r="AU1069" s="3" t="s">
        <v>12123</v>
      </c>
      <c r="AV1069" s="3" t="s">
        <v>12124</v>
      </c>
      <c r="AW1069" s="3" t="s">
        <v>12125</v>
      </c>
      <c r="AX1069" s="3" t="s">
        <v>12125</v>
      </c>
      <c r="AY1069" s="3" t="s">
        <v>12126</v>
      </c>
      <c r="AZ1069" s="3" t="s">
        <v>75</v>
      </c>
      <c r="BC1069" s="3" t="s">
        <v>12127</v>
      </c>
      <c r="BD1069" s="3" t="s">
        <v>12128</v>
      </c>
    </row>
    <row r="1070" spans="1:56" ht="44.25" customHeight="1" x14ac:dyDescent="0.25">
      <c r="A1070" s="7" t="s">
        <v>61</v>
      </c>
      <c r="B1070" s="2" t="s">
        <v>12129</v>
      </c>
      <c r="C1070" s="2" t="s">
        <v>12130</v>
      </c>
      <c r="D1070" s="2" t="s">
        <v>12131</v>
      </c>
      <c r="F1070" s="3" t="s">
        <v>61</v>
      </c>
      <c r="G1070" s="3" t="s">
        <v>60</v>
      </c>
      <c r="H1070" s="3" t="s">
        <v>61</v>
      </c>
      <c r="I1070" s="3" t="s">
        <v>61</v>
      </c>
      <c r="J1070" s="3" t="s">
        <v>62</v>
      </c>
      <c r="K1070" s="2" t="s">
        <v>12132</v>
      </c>
      <c r="L1070" s="2" t="s">
        <v>12133</v>
      </c>
      <c r="M1070" s="3" t="s">
        <v>205</v>
      </c>
      <c r="O1070" s="3" t="s">
        <v>114</v>
      </c>
      <c r="P1070" s="3" t="s">
        <v>235</v>
      </c>
      <c r="Q1070" s="2" t="s">
        <v>12134</v>
      </c>
      <c r="R1070" s="3" t="s">
        <v>68</v>
      </c>
      <c r="S1070" s="4">
        <v>6</v>
      </c>
      <c r="T1070" s="4">
        <v>6</v>
      </c>
      <c r="U1070" s="5" t="s">
        <v>12135</v>
      </c>
      <c r="V1070" s="5" t="s">
        <v>12135</v>
      </c>
      <c r="W1070" s="5" t="s">
        <v>12136</v>
      </c>
      <c r="X1070" s="5" t="s">
        <v>12136</v>
      </c>
      <c r="Y1070" s="4">
        <v>500</v>
      </c>
      <c r="Z1070" s="4">
        <v>458</v>
      </c>
      <c r="AA1070" s="4">
        <v>653</v>
      </c>
      <c r="AB1070" s="4">
        <v>6</v>
      </c>
      <c r="AC1070" s="4">
        <v>8</v>
      </c>
      <c r="AD1070" s="4">
        <v>25</v>
      </c>
      <c r="AE1070" s="4">
        <v>27</v>
      </c>
      <c r="AF1070" s="4">
        <v>11</v>
      </c>
      <c r="AG1070" s="4">
        <v>12</v>
      </c>
      <c r="AH1070" s="4">
        <v>3</v>
      </c>
      <c r="AI1070" s="4">
        <v>4</v>
      </c>
      <c r="AJ1070" s="4">
        <v>11</v>
      </c>
      <c r="AK1070" s="4">
        <v>12</v>
      </c>
      <c r="AL1070" s="4">
        <v>5</v>
      </c>
      <c r="AM1070" s="4">
        <v>5</v>
      </c>
      <c r="AN1070" s="4">
        <v>0</v>
      </c>
      <c r="AO1070" s="4">
        <v>0</v>
      </c>
      <c r="AP1070" s="3" t="s">
        <v>61</v>
      </c>
      <c r="AQ1070" s="3" t="s">
        <v>61</v>
      </c>
      <c r="AS1070" s="6" t="str">
        <f>HYPERLINK("https://creighton-primo.hosted.exlibrisgroup.com/primo-explore/search?tab=default_tab&amp;search_scope=EVERYTHING&amp;vid=01CRU&amp;lang=en_US&amp;offset=0&amp;query=any,contains,991000455769702656","Catalog Record")</f>
        <v>Catalog Record</v>
      </c>
      <c r="AT1070" s="6" t="str">
        <f>HYPERLINK("http://www.worldcat.org/oclc/10913735","WorldCat Record")</f>
        <v>WorldCat Record</v>
      </c>
      <c r="AU1070" s="3" t="s">
        <v>12137</v>
      </c>
      <c r="AV1070" s="3" t="s">
        <v>12138</v>
      </c>
      <c r="AW1070" s="3" t="s">
        <v>12139</v>
      </c>
      <c r="AX1070" s="3" t="s">
        <v>12139</v>
      </c>
      <c r="AY1070" s="3" t="s">
        <v>12140</v>
      </c>
      <c r="AZ1070" s="3" t="s">
        <v>75</v>
      </c>
      <c r="BB1070" s="3" t="s">
        <v>12141</v>
      </c>
      <c r="BC1070" s="3" t="s">
        <v>12142</v>
      </c>
      <c r="BD1070" s="3" t="s">
        <v>12143</v>
      </c>
    </row>
    <row r="1071" spans="1:56" ht="44.25" customHeight="1" x14ac:dyDescent="0.25">
      <c r="A1071" s="7" t="s">
        <v>61</v>
      </c>
      <c r="B1071" s="2" t="s">
        <v>12144</v>
      </c>
      <c r="C1071" s="2" t="s">
        <v>12145</v>
      </c>
      <c r="D1071" s="2" t="s">
        <v>12146</v>
      </c>
      <c r="F1071" s="3" t="s">
        <v>61</v>
      </c>
      <c r="G1071" s="3" t="s">
        <v>60</v>
      </c>
      <c r="H1071" s="3" t="s">
        <v>61</v>
      </c>
      <c r="I1071" s="3" t="s">
        <v>61</v>
      </c>
      <c r="J1071" s="3" t="s">
        <v>62</v>
      </c>
      <c r="K1071" s="2" t="s">
        <v>12147</v>
      </c>
      <c r="L1071" s="2" t="s">
        <v>12148</v>
      </c>
      <c r="M1071" s="3" t="s">
        <v>350</v>
      </c>
      <c r="O1071" s="3" t="s">
        <v>114</v>
      </c>
      <c r="P1071" s="3" t="s">
        <v>192</v>
      </c>
      <c r="R1071" s="3" t="s">
        <v>68</v>
      </c>
      <c r="S1071" s="4">
        <v>2</v>
      </c>
      <c r="T1071" s="4">
        <v>2</v>
      </c>
      <c r="U1071" s="5" t="s">
        <v>12149</v>
      </c>
      <c r="V1071" s="5" t="s">
        <v>12149</v>
      </c>
      <c r="W1071" s="5" t="s">
        <v>10753</v>
      </c>
      <c r="X1071" s="5" t="s">
        <v>10753</v>
      </c>
      <c r="Y1071" s="4">
        <v>961</v>
      </c>
      <c r="Z1071" s="4">
        <v>711</v>
      </c>
      <c r="AA1071" s="4">
        <v>806</v>
      </c>
      <c r="AB1071" s="4">
        <v>5</v>
      </c>
      <c r="AC1071" s="4">
        <v>5</v>
      </c>
      <c r="AD1071" s="4">
        <v>33</v>
      </c>
      <c r="AE1071" s="4">
        <v>37</v>
      </c>
      <c r="AF1071" s="4">
        <v>14</v>
      </c>
      <c r="AG1071" s="4">
        <v>18</v>
      </c>
      <c r="AH1071" s="4">
        <v>11</v>
      </c>
      <c r="AI1071" s="4">
        <v>11</v>
      </c>
      <c r="AJ1071" s="4">
        <v>14</v>
      </c>
      <c r="AK1071" s="4">
        <v>16</v>
      </c>
      <c r="AL1071" s="4">
        <v>4</v>
      </c>
      <c r="AM1071" s="4">
        <v>4</v>
      </c>
      <c r="AN1071" s="4">
        <v>0</v>
      </c>
      <c r="AO1071" s="4">
        <v>0</v>
      </c>
      <c r="AP1071" s="3" t="s">
        <v>61</v>
      </c>
      <c r="AQ1071" s="3" t="s">
        <v>61</v>
      </c>
      <c r="AR1071" s="6" t="str">
        <f>HYPERLINK("http://catalog.hathitrust.org/Record/000303358","HathiTrust Record")</f>
        <v>HathiTrust Record</v>
      </c>
      <c r="AS1071" s="6" t="str">
        <f>HYPERLINK("https://creighton-primo.hosted.exlibrisgroup.com/primo-explore/search?tab=default_tab&amp;search_scope=EVERYTHING&amp;vid=01CRU&amp;lang=en_US&amp;offset=0&amp;query=any,contains,991004775049702656","Catalog Record")</f>
        <v>Catalog Record</v>
      </c>
      <c r="AT1071" s="6" t="str">
        <f>HYPERLINK("http://www.worldcat.org/oclc/5100959","WorldCat Record")</f>
        <v>WorldCat Record</v>
      </c>
      <c r="AU1071" s="3" t="s">
        <v>12150</v>
      </c>
      <c r="AV1071" s="3" t="s">
        <v>12151</v>
      </c>
      <c r="AW1071" s="3" t="s">
        <v>12152</v>
      </c>
      <c r="AX1071" s="3" t="s">
        <v>12152</v>
      </c>
      <c r="AY1071" s="3" t="s">
        <v>12153</v>
      </c>
      <c r="AZ1071" s="3" t="s">
        <v>75</v>
      </c>
      <c r="BB1071" s="3" t="s">
        <v>12154</v>
      </c>
      <c r="BC1071" s="3" t="s">
        <v>12155</v>
      </c>
      <c r="BD1071" s="3" t="s">
        <v>12156</v>
      </c>
    </row>
    <row r="1072" spans="1:56" ht="44.25" customHeight="1" x14ac:dyDescent="0.25">
      <c r="A1072" s="7" t="s">
        <v>61</v>
      </c>
      <c r="B1072" s="2" t="s">
        <v>12157</v>
      </c>
      <c r="C1072" s="2" t="s">
        <v>12158</v>
      </c>
      <c r="D1072" s="2" t="s">
        <v>12159</v>
      </c>
      <c r="F1072" s="3" t="s">
        <v>61</v>
      </c>
      <c r="G1072" s="3" t="s">
        <v>60</v>
      </c>
      <c r="H1072" s="3" t="s">
        <v>61</v>
      </c>
      <c r="I1072" s="3" t="s">
        <v>61</v>
      </c>
      <c r="J1072" s="3" t="s">
        <v>62</v>
      </c>
      <c r="L1072" s="2" t="s">
        <v>12160</v>
      </c>
      <c r="M1072" s="3" t="s">
        <v>1758</v>
      </c>
      <c r="O1072" s="3" t="s">
        <v>114</v>
      </c>
      <c r="P1072" s="3" t="s">
        <v>235</v>
      </c>
      <c r="R1072" s="3" t="s">
        <v>68</v>
      </c>
      <c r="S1072" s="4">
        <v>10</v>
      </c>
      <c r="T1072" s="4">
        <v>10</v>
      </c>
      <c r="U1072" s="5" t="s">
        <v>4654</v>
      </c>
      <c r="V1072" s="5" t="s">
        <v>4654</v>
      </c>
      <c r="W1072" s="5" t="s">
        <v>11131</v>
      </c>
      <c r="X1072" s="5" t="s">
        <v>11131</v>
      </c>
      <c r="Y1072" s="4">
        <v>779</v>
      </c>
      <c r="Z1072" s="4">
        <v>730</v>
      </c>
      <c r="AA1072" s="4">
        <v>742</v>
      </c>
      <c r="AB1072" s="4">
        <v>7</v>
      </c>
      <c r="AC1072" s="4">
        <v>7</v>
      </c>
      <c r="AD1072" s="4">
        <v>37</v>
      </c>
      <c r="AE1072" s="4">
        <v>37</v>
      </c>
      <c r="AF1072" s="4">
        <v>12</v>
      </c>
      <c r="AG1072" s="4">
        <v>12</v>
      </c>
      <c r="AH1072" s="4">
        <v>8</v>
      </c>
      <c r="AI1072" s="4">
        <v>8</v>
      </c>
      <c r="AJ1072" s="4">
        <v>17</v>
      </c>
      <c r="AK1072" s="4">
        <v>17</v>
      </c>
      <c r="AL1072" s="4">
        <v>5</v>
      </c>
      <c r="AM1072" s="4">
        <v>5</v>
      </c>
      <c r="AN1072" s="4">
        <v>1</v>
      </c>
      <c r="AO1072" s="4">
        <v>1</v>
      </c>
      <c r="AP1072" s="3" t="s">
        <v>61</v>
      </c>
      <c r="AQ1072" s="3" t="s">
        <v>59</v>
      </c>
      <c r="AR1072" s="6" t="str">
        <f>HYPERLINK("http://catalog.hathitrust.org/Record/000185104","HathiTrust Record")</f>
        <v>HathiTrust Record</v>
      </c>
      <c r="AS1072" s="6" t="str">
        <f>HYPERLINK("https://creighton-primo.hosted.exlibrisgroup.com/primo-explore/search?tab=default_tab&amp;search_scope=EVERYTHING&amp;vid=01CRU&amp;lang=en_US&amp;offset=0&amp;query=any,contains,991005169319702656","Catalog Record")</f>
        <v>Catalog Record</v>
      </c>
      <c r="AT1072" s="6" t="str">
        <f>HYPERLINK("http://www.worldcat.org/oclc/7838075","WorldCat Record")</f>
        <v>WorldCat Record</v>
      </c>
      <c r="AU1072" s="3" t="s">
        <v>12161</v>
      </c>
      <c r="AV1072" s="3" t="s">
        <v>12162</v>
      </c>
      <c r="AW1072" s="3" t="s">
        <v>12163</v>
      </c>
      <c r="AX1072" s="3" t="s">
        <v>12163</v>
      </c>
      <c r="AY1072" s="3" t="s">
        <v>12164</v>
      </c>
      <c r="AZ1072" s="3" t="s">
        <v>75</v>
      </c>
      <c r="BB1072" s="3" t="s">
        <v>12165</v>
      </c>
      <c r="BC1072" s="3" t="s">
        <v>12166</v>
      </c>
      <c r="BD1072" s="3" t="s">
        <v>12167</v>
      </c>
    </row>
    <row r="1073" spans="1:56" ht="44.25" customHeight="1" x14ac:dyDescent="0.25">
      <c r="A1073" s="7" t="s">
        <v>61</v>
      </c>
      <c r="B1073" s="2" t="s">
        <v>12168</v>
      </c>
      <c r="C1073" s="2" t="s">
        <v>12169</v>
      </c>
      <c r="D1073" s="2" t="s">
        <v>12170</v>
      </c>
      <c r="F1073" s="3" t="s">
        <v>61</v>
      </c>
      <c r="G1073" s="3" t="s">
        <v>60</v>
      </c>
      <c r="H1073" s="3" t="s">
        <v>61</v>
      </c>
      <c r="I1073" s="3" t="s">
        <v>61</v>
      </c>
      <c r="J1073" s="3" t="s">
        <v>62</v>
      </c>
      <c r="K1073" s="2" t="s">
        <v>12171</v>
      </c>
      <c r="L1073" s="2" t="s">
        <v>12172</v>
      </c>
      <c r="M1073" s="3" t="s">
        <v>1211</v>
      </c>
      <c r="N1073" s="2" t="s">
        <v>12173</v>
      </c>
      <c r="O1073" s="3" t="s">
        <v>4665</v>
      </c>
      <c r="P1073" s="3" t="s">
        <v>67</v>
      </c>
      <c r="Q1073" s="2" t="s">
        <v>12174</v>
      </c>
      <c r="R1073" s="3" t="s">
        <v>68</v>
      </c>
      <c r="S1073" s="4">
        <v>0</v>
      </c>
      <c r="T1073" s="4">
        <v>0</v>
      </c>
      <c r="U1073" s="5" t="s">
        <v>12175</v>
      </c>
      <c r="V1073" s="5" t="s">
        <v>12175</v>
      </c>
      <c r="W1073" s="5" t="s">
        <v>12059</v>
      </c>
      <c r="X1073" s="5" t="s">
        <v>12059</v>
      </c>
      <c r="Y1073" s="4">
        <v>83</v>
      </c>
      <c r="Z1073" s="4">
        <v>60</v>
      </c>
      <c r="AA1073" s="4">
        <v>62</v>
      </c>
      <c r="AB1073" s="4">
        <v>1</v>
      </c>
      <c r="AC1073" s="4">
        <v>1</v>
      </c>
      <c r="AD1073" s="4">
        <v>2</v>
      </c>
      <c r="AE1073" s="4">
        <v>2</v>
      </c>
      <c r="AF1073" s="4">
        <v>0</v>
      </c>
      <c r="AG1073" s="4">
        <v>0</v>
      </c>
      <c r="AH1073" s="4">
        <v>1</v>
      </c>
      <c r="AI1073" s="4">
        <v>1</v>
      </c>
      <c r="AJ1073" s="4">
        <v>1</v>
      </c>
      <c r="AK1073" s="4">
        <v>1</v>
      </c>
      <c r="AL1073" s="4">
        <v>0</v>
      </c>
      <c r="AM1073" s="4">
        <v>0</v>
      </c>
      <c r="AN1073" s="4">
        <v>0</v>
      </c>
      <c r="AO1073" s="4">
        <v>0</v>
      </c>
      <c r="AP1073" s="3" t="s">
        <v>61</v>
      </c>
      <c r="AQ1073" s="3" t="s">
        <v>59</v>
      </c>
      <c r="AR1073" s="6" t="str">
        <f>HYPERLINK("http://catalog.hathitrust.org/Record/000809508","HathiTrust Record")</f>
        <v>HathiTrust Record</v>
      </c>
      <c r="AS1073" s="6" t="str">
        <f>HYPERLINK("https://creighton-primo.hosted.exlibrisgroup.com/primo-explore/search?tab=default_tab&amp;search_scope=EVERYTHING&amp;vid=01CRU&amp;lang=en_US&amp;offset=0&amp;query=any,contains,991003235039702656","Catalog Record")</f>
        <v>Catalog Record</v>
      </c>
      <c r="AT1073" s="6" t="str">
        <f>HYPERLINK("http://www.worldcat.org/oclc/759634","WorldCat Record")</f>
        <v>WorldCat Record</v>
      </c>
      <c r="AU1073" s="3" t="s">
        <v>12176</v>
      </c>
      <c r="AV1073" s="3" t="s">
        <v>12177</v>
      </c>
      <c r="AW1073" s="3" t="s">
        <v>12178</v>
      </c>
      <c r="AX1073" s="3" t="s">
        <v>12178</v>
      </c>
      <c r="AY1073" s="3" t="s">
        <v>12179</v>
      </c>
      <c r="AZ1073" s="3" t="s">
        <v>75</v>
      </c>
      <c r="BC1073" s="3" t="s">
        <v>12180</v>
      </c>
      <c r="BD1073" s="3" t="s">
        <v>12181</v>
      </c>
    </row>
    <row r="1074" spans="1:56" ht="44.25" customHeight="1" x14ac:dyDescent="0.25">
      <c r="A1074" s="7" t="s">
        <v>61</v>
      </c>
      <c r="B1074" s="2" t="s">
        <v>12182</v>
      </c>
      <c r="C1074" s="2" t="s">
        <v>12183</v>
      </c>
      <c r="D1074" s="2" t="s">
        <v>12184</v>
      </c>
      <c r="F1074" s="3" t="s">
        <v>61</v>
      </c>
      <c r="G1074" s="3" t="s">
        <v>60</v>
      </c>
      <c r="H1074" s="3" t="s">
        <v>61</v>
      </c>
      <c r="I1074" s="3" t="s">
        <v>61</v>
      </c>
      <c r="J1074" s="3" t="s">
        <v>62</v>
      </c>
      <c r="L1074" s="2" t="s">
        <v>12185</v>
      </c>
      <c r="M1074" s="3" t="s">
        <v>3279</v>
      </c>
      <c r="O1074" s="3" t="s">
        <v>114</v>
      </c>
      <c r="P1074" s="3" t="s">
        <v>235</v>
      </c>
      <c r="Q1074" s="2" t="s">
        <v>6840</v>
      </c>
      <c r="R1074" s="3" t="s">
        <v>68</v>
      </c>
      <c r="S1074" s="4">
        <v>4</v>
      </c>
      <c r="T1074" s="4">
        <v>4</v>
      </c>
      <c r="U1074" s="5" t="s">
        <v>6100</v>
      </c>
      <c r="V1074" s="5" t="s">
        <v>6100</v>
      </c>
      <c r="W1074" s="5" t="s">
        <v>12186</v>
      </c>
      <c r="X1074" s="5" t="s">
        <v>12186</v>
      </c>
      <c r="Y1074" s="4">
        <v>133</v>
      </c>
      <c r="Z1074" s="4">
        <v>112</v>
      </c>
      <c r="AA1074" s="4">
        <v>444</v>
      </c>
      <c r="AB1074" s="4">
        <v>3</v>
      </c>
      <c r="AC1074" s="4">
        <v>4</v>
      </c>
      <c r="AD1074" s="4">
        <v>6</v>
      </c>
      <c r="AE1074" s="4">
        <v>22</v>
      </c>
      <c r="AF1074" s="4">
        <v>3</v>
      </c>
      <c r="AG1074" s="4">
        <v>10</v>
      </c>
      <c r="AH1074" s="4">
        <v>1</v>
      </c>
      <c r="AI1074" s="4">
        <v>5</v>
      </c>
      <c r="AJ1074" s="4">
        <v>1</v>
      </c>
      <c r="AK1074" s="4">
        <v>8</v>
      </c>
      <c r="AL1074" s="4">
        <v>2</v>
      </c>
      <c r="AM1074" s="4">
        <v>3</v>
      </c>
      <c r="AN1074" s="4">
        <v>0</v>
      </c>
      <c r="AO1074" s="4">
        <v>1</v>
      </c>
      <c r="AP1074" s="3" t="s">
        <v>61</v>
      </c>
      <c r="AQ1074" s="3" t="s">
        <v>61</v>
      </c>
      <c r="AS1074" s="6" t="str">
        <f>HYPERLINK("https://creighton-primo.hosted.exlibrisgroup.com/primo-explore/search?tab=default_tab&amp;search_scope=EVERYTHING&amp;vid=01CRU&amp;lang=en_US&amp;offset=0&amp;query=any,contains,991002655299702656","Catalog Record")</f>
        <v>Catalog Record</v>
      </c>
      <c r="AT1074" s="6" t="str">
        <f>HYPERLINK("http://www.worldcat.org/oclc/388565","WorldCat Record")</f>
        <v>WorldCat Record</v>
      </c>
      <c r="AU1074" s="3" t="s">
        <v>12187</v>
      </c>
      <c r="AV1074" s="3" t="s">
        <v>12188</v>
      </c>
      <c r="AW1074" s="3" t="s">
        <v>12189</v>
      </c>
      <c r="AX1074" s="3" t="s">
        <v>12189</v>
      </c>
      <c r="AY1074" s="3" t="s">
        <v>12190</v>
      </c>
      <c r="AZ1074" s="3" t="s">
        <v>75</v>
      </c>
      <c r="BB1074" s="3" t="s">
        <v>12191</v>
      </c>
      <c r="BC1074" s="3" t="s">
        <v>12192</v>
      </c>
      <c r="BD1074" s="3" t="s">
        <v>12193</v>
      </c>
    </row>
    <row r="1075" spans="1:56" ht="44.25" customHeight="1" x14ac:dyDescent="0.25">
      <c r="A1075" s="7" t="s">
        <v>61</v>
      </c>
      <c r="B1075" s="2" t="s">
        <v>12194</v>
      </c>
      <c r="C1075" s="2" t="s">
        <v>12195</v>
      </c>
      <c r="D1075" s="2" t="s">
        <v>12196</v>
      </c>
      <c r="F1075" s="3" t="s">
        <v>61</v>
      </c>
      <c r="G1075" s="3" t="s">
        <v>60</v>
      </c>
      <c r="H1075" s="3" t="s">
        <v>61</v>
      </c>
      <c r="I1075" s="3" t="s">
        <v>61</v>
      </c>
      <c r="J1075" s="3" t="s">
        <v>62</v>
      </c>
      <c r="K1075" s="2" t="s">
        <v>12197</v>
      </c>
      <c r="L1075" s="2" t="s">
        <v>12198</v>
      </c>
      <c r="M1075" s="3" t="s">
        <v>3279</v>
      </c>
      <c r="O1075" s="3" t="s">
        <v>114</v>
      </c>
      <c r="P1075" s="3" t="s">
        <v>235</v>
      </c>
      <c r="Q1075" s="2" t="s">
        <v>6840</v>
      </c>
      <c r="R1075" s="3" t="s">
        <v>68</v>
      </c>
      <c r="S1075" s="4">
        <v>2</v>
      </c>
      <c r="T1075" s="4">
        <v>2</v>
      </c>
      <c r="U1075" s="5" t="s">
        <v>12199</v>
      </c>
      <c r="V1075" s="5" t="s">
        <v>12199</v>
      </c>
      <c r="W1075" s="5" t="s">
        <v>12200</v>
      </c>
      <c r="X1075" s="5" t="s">
        <v>12200</v>
      </c>
      <c r="Y1075" s="4">
        <v>218</v>
      </c>
      <c r="Z1075" s="4">
        <v>185</v>
      </c>
      <c r="AA1075" s="4">
        <v>590</v>
      </c>
      <c r="AB1075" s="4">
        <v>3</v>
      </c>
      <c r="AC1075" s="4">
        <v>7</v>
      </c>
      <c r="AD1075" s="4">
        <v>10</v>
      </c>
      <c r="AE1075" s="4">
        <v>27</v>
      </c>
      <c r="AF1075" s="4">
        <v>3</v>
      </c>
      <c r="AG1075" s="4">
        <v>9</v>
      </c>
      <c r="AH1075" s="4">
        <v>4</v>
      </c>
      <c r="AI1075" s="4">
        <v>7</v>
      </c>
      <c r="AJ1075" s="4">
        <v>3</v>
      </c>
      <c r="AK1075" s="4">
        <v>7</v>
      </c>
      <c r="AL1075" s="4">
        <v>2</v>
      </c>
      <c r="AM1075" s="4">
        <v>6</v>
      </c>
      <c r="AN1075" s="4">
        <v>0</v>
      </c>
      <c r="AO1075" s="4">
        <v>1</v>
      </c>
      <c r="AP1075" s="3" t="s">
        <v>61</v>
      </c>
      <c r="AQ1075" s="3" t="s">
        <v>59</v>
      </c>
      <c r="AR1075" s="6" t="str">
        <f>HYPERLINK("http://catalog.hathitrust.org/Record/000808618","HathiTrust Record")</f>
        <v>HathiTrust Record</v>
      </c>
      <c r="AS1075" s="6" t="str">
        <f>HYPERLINK("https://creighton-primo.hosted.exlibrisgroup.com/primo-explore/search?tab=default_tab&amp;search_scope=EVERYTHING&amp;vid=01CRU&amp;lang=en_US&amp;offset=0&amp;query=any,contains,991002615079702656","Catalog Record")</f>
        <v>Catalog Record</v>
      </c>
      <c r="AT1075" s="6" t="str">
        <f>HYPERLINK("http://www.worldcat.org/oclc/379288","WorldCat Record")</f>
        <v>WorldCat Record</v>
      </c>
      <c r="AU1075" s="3" t="s">
        <v>12201</v>
      </c>
      <c r="AV1075" s="3" t="s">
        <v>12202</v>
      </c>
      <c r="AW1075" s="3" t="s">
        <v>12203</v>
      </c>
      <c r="AX1075" s="3" t="s">
        <v>12203</v>
      </c>
      <c r="AY1075" s="3" t="s">
        <v>12204</v>
      </c>
      <c r="AZ1075" s="3" t="s">
        <v>75</v>
      </c>
      <c r="BB1075" s="3" t="s">
        <v>12205</v>
      </c>
      <c r="BC1075" s="3" t="s">
        <v>12206</v>
      </c>
      <c r="BD1075" s="3" t="s">
        <v>12207</v>
      </c>
    </row>
    <row r="1076" spans="1:56" ht="44.25" customHeight="1" x14ac:dyDescent="0.25">
      <c r="A1076" s="7" t="s">
        <v>61</v>
      </c>
      <c r="B1076" s="2" t="s">
        <v>12208</v>
      </c>
      <c r="C1076" s="2" t="s">
        <v>12209</v>
      </c>
      <c r="D1076" s="2" t="s">
        <v>12210</v>
      </c>
      <c r="F1076" s="3" t="s">
        <v>61</v>
      </c>
      <c r="G1076" s="3" t="s">
        <v>60</v>
      </c>
      <c r="H1076" s="3" t="s">
        <v>61</v>
      </c>
      <c r="I1076" s="3" t="s">
        <v>61</v>
      </c>
      <c r="J1076" s="3" t="s">
        <v>62</v>
      </c>
      <c r="K1076" s="2" t="s">
        <v>12211</v>
      </c>
      <c r="L1076" s="2" t="s">
        <v>12212</v>
      </c>
      <c r="M1076" s="3" t="s">
        <v>379</v>
      </c>
      <c r="O1076" s="3" t="s">
        <v>114</v>
      </c>
      <c r="P1076" s="3" t="s">
        <v>8882</v>
      </c>
      <c r="R1076" s="3" t="s">
        <v>68</v>
      </c>
      <c r="S1076" s="4">
        <v>1</v>
      </c>
      <c r="T1076" s="4">
        <v>1</v>
      </c>
      <c r="U1076" s="5" t="s">
        <v>482</v>
      </c>
      <c r="V1076" s="5" t="s">
        <v>482</v>
      </c>
      <c r="W1076" s="5" t="s">
        <v>11973</v>
      </c>
      <c r="X1076" s="5" t="s">
        <v>11973</v>
      </c>
      <c r="Y1076" s="4">
        <v>161</v>
      </c>
      <c r="Z1076" s="4">
        <v>119</v>
      </c>
      <c r="AA1076" s="4">
        <v>121</v>
      </c>
      <c r="AB1076" s="4">
        <v>1</v>
      </c>
      <c r="AC1076" s="4">
        <v>1</v>
      </c>
      <c r="AD1076" s="4">
        <v>7</v>
      </c>
      <c r="AE1076" s="4">
        <v>7</v>
      </c>
      <c r="AF1076" s="4">
        <v>1</v>
      </c>
      <c r="AG1076" s="4">
        <v>1</v>
      </c>
      <c r="AH1076" s="4">
        <v>4</v>
      </c>
      <c r="AI1076" s="4">
        <v>4</v>
      </c>
      <c r="AJ1076" s="4">
        <v>5</v>
      </c>
      <c r="AK1076" s="4">
        <v>5</v>
      </c>
      <c r="AL1076" s="4">
        <v>0</v>
      </c>
      <c r="AM1076" s="4">
        <v>0</v>
      </c>
      <c r="AN1076" s="4">
        <v>0</v>
      </c>
      <c r="AO1076" s="4">
        <v>0</v>
      </c>
      <c r="AP1076" s="3" t="s">
        <v>61</v>
      </c>
      <c r="AQ1076" s="3" t="s">
        <v>59</v>
      </c>
      <c r="AR1076" s="6" t="str">
        <f>HYPERLINK("http://catalog.hathitrust.org/Record/004140578","HathiTrust Record")</f>
        <v>HathiTrust Record</v>
      </c>
      <c r="AS1076" s="6" t="str">
        <f>HYPERLINK("https://creighton-primo.hosted.exlibrisgroup.com/primo-explore/search?tab=default_tab&amp;search_scope=EVERYTHING&amp;vid=01CRU&amp;lang=en_US&amp;offset=0&amp;query=any,contains,991003774249702656","Catalog Record")</f>
        <v>Catalog Record</v>
      </c>
      <c r="AT1076" s="6" t="str">
        <f>HYPERLINK("http://www.worldcat.org/oclc/45486741","WorldCat Record")</f>
        <v>WorldCat Record</v>
      </c>
      <c r="AU1076" s="3" t="s">
        <v>12213</v>
      </c>
      <c r="AV1076" s="3" t="s">
        <v>12214</v>
      </c>
      <c r="AW1076" s="3" t="s">
        <v>12215</v>
      </c>
      <c r="AX1076" s="3" t="s">
        <v>12215</v>
      </c>
      <c r="AY1076" s="3" t="s">
        <v>12216</v>
      </c>
      <c r="AZ1076" s="3" t="s">
        <v>75</v>
      </c>
      <c r="BB1076" s="3" t="s">
        <v>12217</v>
      </c>
      <c r="BC1076" s="3" t="s">
        <v>12218</v>
      </c>
      <c r="BD1076" s="3" t="s">
        <v>12219</v>
      </c>
    </row>
    <row r="1077" spans="1:56" ht="44.25" customHeight="1" x14ac:dyDescent="0.25">
      <c r="A1077" s="7" t="s">
        <v>61</v>
      </c>
      <c r="B1077" s="2" t="s">
        <v>12220</v>
      </c>
      <c r="C1077" s="2" t="s">
        <v>12221</v>
      </c>
      <c r="D1077" s="2" t="s">
        <v>12222</v>
      </c>
      <c r="F1077" s="3" t="s">
        <v>61</v>
      </c>
      <c r="G1077" s="3" t="s">
        <v>60</v>
      </c>
      <c r="H1077" s="3" t="s">
        <v>61</v>
      </c>
      <c r="I1077" s="3" t="s">
        <v>61</v>
      </c>
      <c r="J1077" s="3" t="s">
        <v>62</v>
      </c>
      <c r="K1077" s="2" t="s">
        <v>9128</v>
      </c>
      <c r="L1077" s="2" t="s">
        <v>12223</v>
      </c>
      <c r="M1077" s="3" t="s">
        <v>552</v>
      </c>
      <c r="O1077" s="3" t="s">
        <v>114</v>
      </c>
      <c r="P1077" s="3" t="s">
        <v>235</v>
      </c>
      <c r="R1077" s="3" t="s">
        <v>68</v>
      </c>
      <c r="S1077" s="4">
        <v>5</v>
      </c>
      <c r="T1077" s="4">
        <v>5</v>
      </c>
      <c r="U1077" s="5" t="s">
        <v>12224</v>
      </c>
      <c r="V1077" s="5" t="s">
        <v>12224</v>
      </c>
      <c r="W1077" s="5" t="s">
        <v>12225</v>
      </c>
      <c r="X1077" s="5" t="s">
        <v>12225</v>
      </c>
      <c r="Y1077" s="4">
        <v>2401</v>
      </c>
      <c r="Z1077" s="4">
        <v>2101</v>
      </c>
      <c r="AA1077" s="4">
        <v>2158</v>
      </c>
      <c r="AB1077" s="4">
        <v>20</v>
      </c>
      <c r="AC1077" s="4">
        <v>20</v>
      </c>
      <c r="AD1077" s="4">
        <v>62</v>
      </c>
      <c r="AE1077" s="4">
        <v>63</v>
      </c>
      <c r="AF1077" s="4">
        <v>28</v>
      </c>
      <c r="AG1077" s="4">
        <v>29</v>
      </c>
      <c r="AH1077" s="4">
        <v>11</v>
      </c>
      <c r="AI1077" s="4">
        <v>11</v>
      </c>
      <c r="AJ1077" s="4">
        <v>24</v>
      </c>
      <c r="AK1077" s="4">
        <v>24</v>
      </c>
      <c r="AL1077" s="4">
        <v>13</v>
      </c>
      <c r="AM1077" s="4">
        <v>13</v>
      </c>
      <c r="AN1077" s="4">
        <v>0</v>
      </c>
      <c r="AO1077" s="4">
        <v>0</v>
      </c>
      <c r="AP1077" s="3" t="s">
        <v>61</v>
      </c>
      <c r="AQ1077" s="3" t="s">
        <v>61</v>
      </c>
      <c r="AS1077" s="6" t="str">
        <f>HYPERLINK("https://creighton-primo.hosted.exlibrisgroup.com/primo-explore/search?tab=default_tab&amp;search_scope=EVERYTHING&amp;vid=01CRU&amp;lang=en_US&amp;offset=0&amp;query=any,contains,991001433279702656","Catalog Record")</f>
        <v>Catalog Record</v>
      </c>
      <c r="AT1077" s="6" t="str">
        <f>HYPERLINK("http://www.worldcat.org/oclc/19125231","WorldCat Record")</f>
        <v>WorldCat Record</v>
      </c>
      <c r="AU1077" s="3" t="s">
        <v>12226</v>
      </c>
      <c r="AV1077" s="3" t="s">
        <v>12227</v>
      </c>
      <c r="AW1077" s="3" t="s">
        <v>12228</v>
      </c>
      <c r="AX1077" s="3" t="s">
        <v>12228</v>
      </c>
      <c r="AY1077" s="3" t="s">
        <v>12229</v>
      </c>
      <c r="AZ1077" s="3" t="s">
        <v>75</v>
      </c>
      <c r="BB1077" s="3" t="s">
        <v>12230</v>
      </c>
      <c r="BC1077" s="3" t="s">
        <v>12231</v>
      </c>
      <c r="BD1077" s="3" t="s">
        <v>12232</v>
      </c>
    </row>
    <row r="1078" spans="1:56" ht="44.25" customHeight="1" x14ac:dyDescent="0.25">
      <c r="A1078" s="7" t="s">
        <v>61</v>
      </c>
      <c r="B1078" s="2" t="s">
        <v>12233</v>
      </c>
      <c r="C1078" s="2" t="s">
        <v>12234</v>
      </c>
      <c r="D1078" s="2" t="s">
        <v>12235</v>
      </c>
      <c r="F1078" s="3" t="s">
        <v>61</v>
      </c>
      <c r="G1078" s="3" t="s">
        <v>60</v>
      </c>
      <c r="H1078" s="3" t="s">
        <v>61</v>
      </c>
      <c r="I1078" s="3" t="s">
        <v>61</v>
      </c>
      <c r="J1078" s="3" t="s">
        <v>62</v>
      </c>
      <c r="K1078" s="2" t="s">
        <v>12236</v>
      </c>
      <c r="L1078" s="2" t="s">
        <v>12237</v>
      </c>
      <c r="M1078" s="3" t="s">
        <v>552</v>
      </c>
      <c r="O1078" s="3" t="s">
        <v>114</v>
      </c>
      <c r="P1078" s="3" t="s">
        <v>235</v>
      </c>
      <c r="R1078" s="3" t="s">
        <v>68</v>
      </c>
      <c r="S1078" s="4">
        <v>10</v>
      </c>
      <c r="T1078" s="4">
        <v>10</v>
      </c>
      <c r="U1078" s="5" t="s">
        <v>12238</v>
      </c>
      <c r="V1078" s="5" t="s">
        <v>12238</v>
      </c>
      <c r="W1078" s="5" t="s">
        <v>8614</v>
      </c>
      <c r="X1078" s="5" t="s">
        <v>8614</v>
      </c>
      <c r="Y1078" s="4">
        <v>451</v>
      </c>
      <c r="Z1078" s="4">
        <v>385</v>
      </c>
      <c r="AA1078" s="4">
        <v>387</v>
      </c>
      <c r="AB1078" s="4">
        <v>3</v>
      </c>
      <c r="AC1078" s="4">
        <v>3</v>
      </c>
      <c r="AD1078" s="4">
        <v>19</v>
      </c>
      <c r="AE1078" s="4">
        <v>19</v>
      </c>
      <c r="AF1078" s="4">
        <v>4</v>
      </c>
      <c r="AG1078" s="4">
        <v>4</v>
      </c>
      <c r="AH1078" s="4">
        <v>5</v>
      </c>
      <c r="AI1078" s="4">
        <v>5</v>
      </c>
      <c r="AJ1078" s="4">
        <v>13</v>
      </c>
      <c r="AK1078" s="4">
        <v>13</v>
      </c>
      <c r="AL1078" s="4">
        <v>2</v>
      </c>
      <c r="AM1078" s="4">
        <v>2</v>
      </c>
      <c r="AN1078" s="4">
        <v>0</v>
      </c>
      <c r="AO1078" s="4">
        <v>0</v>
      </c>
      <c r="AP1078" s="3" t="s">
        <v>61</v>
      </c>
      <c r="AQ1078" s="3" t="s">
        <v>59</v>
      </c>
      <c r="AR1078" s="6" t="str">
        <f>HYPERLINK("http://catalog.hathitrust.org/Record/001304165","HathiTrust Record")</f>
        <v>HathiTrust Record</v>
      </c>
      <c r="AS1078" s="6" t="str">
        <f>HYPERLINK("https://creighton-primo.hosted.exlibrisgroup.com/primo-explore/search?tab=default_tab&amp;search_scope=EVERYTHING&amp;vid=01CRU&amp;lang=en_US&amp;offset=0&amp;query=any,contains,991001340719702656","Catalog Record")</f>
        <v>Catalog Record</v>
      </c>
      <c r="AT1078" s="6" t="str">
        <f>HYPERLINK("http://www.worldcat.org/oclc/18382134","WorldCat Record")</f>
        <v>WorldCat Record</v>
      </c>
      <c r="AU1078" s="3" t="s">
        <v>12239</v>
      </c>
      <c r="AV1078" s="3" t="s">
        <v>12240</v>
      </c>
      <c r="AW1078" s="3" t="s">
        <v>12241</v>
      </c>
      <c r="AX1078" s="3" t="s">
        <v>12241</v>
      </c>
      <c r="AY1078" s="3" t="s">
        <v>12242</v>
      </c>
      <c r="AZ1078" s="3" t="s">
        <v>75</v>
      </c>
      <c r="BB1078" s="3" t="s">
        <v>12243</v>
      </c>
      <c r="BC1078" s="3" t="s">
        <v>12244</v>
      </c>
      <c r="BD1078" s="3" t="s">
        <v>12245</v>
      </c>
    </row>
    <row r="1079" spans="1:56" ht="44.25" customHeight="1" x14ac:dyDescent="0.25">
      <c r="A1079" s="7" t="s">
        <v>61</v>
      </c>
      <c r="B1079" s="2" t="s">
        <v>12246</v>
      </c>
      <c r="C1079" s="2" t="s">
        <v>12247</v>
      </c>
      <c r="D1079" s="2" t="s">
        <v>12248</v>
      </c>
      <c r="F1079" s="3" t="s">
        <v>61</v>
      </c>
      <c r="G1079" s="3" t="s">
        <v>60</v>
      </c>
      <c r="H1079" s="3" t="s">
        <v>61</v>
      </c>
      <c r="I1079" s="3" t="s">
        <v>61</v>
      </c>
      <c r="J1079" s="3" t="s">
        <v>62</v>
      </c>
      <c r="K1079" s="2" t="s">
        <v>12249</v>
      </c>
      <c r="L1079" s="2" t="s">
        <v>12250</v>
      </c>
      <c r="M1079" s="3" t="s">
        <v>249</v>
      </c>
      <c r="O1079" s="3" t="s">
        <v>114</v>
      </c>
      <c r="P1079" s="3" t="s">
        <v>649</v>
      </c>
      <c r="R1079" s="3" t="s">
        <v>68</v>
      </c>
      <c r="S1079" s="4">
        <v>13</v>
      </c>
      <c r="T1079" s="4">
        <v>13</v>
      </c>
      <c r="U1079" s="5" t="s">
        <v>12251</v>
      </c>
      <c r="V1079" s="5" t="s">
        <v>12251</v>
      </c>
      <c r="W1079" s="5" t="s">
        <v>2970</v>
      </c>
      <c r="X1079" s="5" t="s">
        <v>2970</v>
      </c>
      <c r="Y1079" s="4">
        <v>615</v>
      </c>
      <c r="Z1079" s="4">
        <v>513</v>
      </c>
      <c r="AA1079" s="4">
        <v>515</v>
      </c>
      <c r="AB1079" s="4">
        <v>4</v>
      </c>
      <c r="AC1079" s="4">
        <v>4</v>
      </c>
      <c r="AD1079" s="4">
        <v>30</v>
      </c>
      <c r="AE1079" s="4">
        <v>30</v>
      </c>
      <c r="AF1079" s="4">
        <v>12</v>
      </c>
      <c r="AG1079" s="4">
        <v>12</v>
      </c>
      <c r="AH1079" s="4">
        <v>7</v>
      </c>
      <c r="AI1079" s="4">
        <v>7</v>
      </c>
      <c r="AJ1079" s="4">
        <v>16</v>
      </c>
      <c r="AK1079" s="4">
        <v>16</v>
      </c>
      <c r="AL1079" s="4">
        <v>3</v>
      </c>
      <c r="AM1079" s="4">
        <v>3</v>
      </c>
      <c r="AN1079" s="4">
        <v>0</v>
      </c>
      <c r="AO1079" s="4">
        <v>0</v>
      </c>
      <c r="AP1079" s="3" t="s">
        <v>61</v>
      </c>
      <c r="AQ1079" s="3" t="s">
        <v>59</v>
      </c>
      <c r="AR1079" s="6" t="str">
        <f>HYPERLINK("http://catalog.hathitrust.org/Record/002721936","HathiTrust Record")</f>
        <v>HathiTrust Record</v>
      </c>
      <c r="AS1079" s="6" t="str">
        <f>HYPERLINK("https://creighton-primo.hosted.exlibrisgroup.com/primo-explore/search?tab=default_tab&amp;search_scope=EVERYTHING&amp;vid=01CRU&amp;lang=en_US&amp;offset=0&amp;query=any,contains,991002072389702656","Catalog Record")</f>
        <v>Catalog Record</v>
      </c>
      <c r="AT1079" s="6" t="str">
        <f>HYPERLINK("http://www.worldcat.org/oclc/26547725","WorldCat Record")</f>
        <v>WorldCat Record</v>
      </c>
      <c r="AU1079" s="3" t="s">
        <v>12252</v>
      </c>
      <c r="AV1079" s="3" t="s">
        <v>12253</v>
      </c>
      <c r="AW1079" s="3" t="s">
        <v>12254</v>
      </c>
      <c r="AX1079" s="3" t="s">
        <v>12254</v>
      </c>
      <c r="AY1079" s="3" t="s">
        <v>12255</v>
      </c>
      <c r="AZ1079" s="3" t="s">
        <v>75</v>
      </c>
      <c r="BB1079" s="3" t="s">
        <v>12256</v>
      </c>
      <c r="BC1079" s="3" t="s">
        <v>12257</v>
      </c>
      <c r="BD1079" s="3" t="s">
        <v>12258</v>
      </c>
    </row>
    <row r="1080" spans="1:56" ht="44.25" customHeight="1" x14ac:dyDescent="0.25">
      <c r="A1080" s="7" t="s">
        <v>61</v>
      </c>
      <c r="B1080" s="2" t="s">
        <v>12259</v>
      </c>
      <c r="C1080" s="2" t="s">
        <v>12260</v>
      </c>
      <c r="D1080" s="2" t="s">
        <v>12261</v>
      </c>
      <c r="F1080" s="3" t="s">
        <v>61</v>
      </c>
      <c r="G1080" s="3" t="s">
        <v>60</v>
      </c>
      <c r="H1080" s="3" t="s">
        <v>61</v>
      </c>
      <c r="I1080" s="3" t="s">
        <v>61</v>
      </c>
      <c r="J1080" s="3" t="s">
        <v>62</v>
      </c>
      <c r="K1080" s="2" t="s">
        <v>12262</v>
      </c>
      <c r="L1080" s="2" t="s">
        <v>12263</v>
      </c>
      <c r="M1080" s="3" t="s">
        <v>234</v>
      </c>
      <c r="O1080" s="3" t="s">
        <v>114</v>
      </c>
      <c r="P1080" s="3" t="s">
        <v>437</v>
      </c>
      <c r="Q1080" s="2" t="s">
        <v>12264</v>
      </c>
      <c r="R1080" s="3" t="s">
        <v>68</v>
      </c>
      <c r="S1080" s="4">
        <v>1</v>
      </c>
      <c r="T1080" s="4">
        <v>1</v>
      </c>
      <c r="U1080" s="5" t="s">
        <v>12265</v>
      </c>
      <c r="V1080" s="5" t="s">
        <v>12265</v>
      </c>
      <c r="W1080" s="5" t="s">
        <v>11908</v>
      </c>
      <c r="X1080" s="5" t="s">
        <v>11908</v>
      </c>
      <c r="Y1080" s="4">
        <v>358</v>
      </c>
      <c r="Z1080" s="4">
        <v>309</v>
      </c>
      <c r="AA1080" s="4">
        <v>659</v>
      </c>
      <c r="AB1080" s="4">
        <v>3</v>
      </c>
      <c r="AC1080" s="4">
        <v>5</v>
      </c>
      <c r="AD1080" s="4">
        <v>17</v>
      </c>
      <c r="AE1080" s="4">
        <v>27</v>
      </c>
      <c r="AF1080" s="4">
        <v>7</v>
      </c>
      <c r="AG1080" s="4">
        <v>11</v>
      </c>
      <c r="AH1080" s="4">
        <v>4</v>
      </c>
      <c r="AI1080" s="4">
        <v>7</v>
      </c>
      <c r="AJ1080" s="4">
        <v>8</v>
      </c>
      <c r="AK1080" s="4">
        <v>11</v>
      </c>
      <c r="AL1080" s="4">
        <v>2</v>
      </c>
      <c r="AM1080" s="4">
        <v>4</v>
      </c>
      <c r="AN1080" s="4">
        <v>0</v>
      </c>
      <c r="AO1080" s="4">
        <v>0</v>
      </c>
      <c r="AP1080" s="3" t="s">
        <v>61</v>
      </c>
      <c r="AQ1080" s="3" t="s">
        <v>61</v>
      </c>
      <c r="AS1080" s="6" t="str">
        <f>HYPERLINK("https://creighton-primo.hosted.exlibrisgroup.com/primo-explore/search?tab=default_tab&amp;search_scope=EVERYTHING&amp;vid=01CRU&amp;lang=en_US&amp;offset=0&amp;query=any,contains,991000075419702656","Catalog Record")</f>
        <v>Catalog Record</v>
      </c>
      <c r="AT1080" s="6" t="str">
        <f>HYPERLINK("http://www.worldcat.org/oclc/8805725","WorldCat Record")</f>
        <v>WorldCat Record</v>
      </c>
      <c r="AU1080" s="3" t="s">
        <v>12266</v>
      </c>
      <c r="AV1080" s="3" t="s">
        <v>12267</v>
      </c>
      <c r="AW1080" s="3" t="s">
        <v>12268</v>
      </c>
      <c r="AX1080" s="3" t="s">
        <v>12268</v>
      </c>
      <c r="AY1080" s="3" t="s">
        <v>12269</v>
      </c>
      <c r="AZ1080" s="3" t="s">
        <v>75</v>
      </c>
      <c r="BB1080" s="3" t="s">
        <v>12270</v>
      </c>
      <c r="BC1080" s="3" t="s">
        <v>12271</v>
      </c>
      <c r="BD1080" s="3" t="s">
        <v>12272</v>
      </c>
    </row>
    <row r="1081" spans="1:56" ht="44.25" customHeight="1" x14ac:dyDescent="0.25">
      <c r="A1081" s="7" t="s">
        <v>61</v>
      </c>
      <c r="B1081" s="2" t="s">
        <v>12273</v>
      </c>
      <c r="C1081" s="2" t="s">
        <v>12274</v>
      </c>
      <c r="D1081" s="2" t="s">
        <v>12275</v>
      </c>
      <c r="F1081" s="3" t="s">
        <v>61</v>
      </c>
      <c r="G1081" s="3" t="s">
        <v>60</v>
      </c>
      <c r="H1081" s="3" t="s">
        <v>61</v>
      </c>
      <c r="I1081" s="3" t="s">
        <v>61</v>
      </c>
      <c r="J1081" s="3" t="s">
        <v>62</v>
      </c>
      <c r="K1081" s="2" t="s">
        <v>12276</v>
      </c>
      <c r="L1081" s="2" t="s">
        <v>12277</v>
      </c>
      <c r="M1081" s="3" t="s">
        <v>495</v>
      </c>
      <c r="O1081" s="3" t="s">
        <v>114</v>
      </c>
      <c r="P1081" s="3" t="s">
        <v>192</v>
      </c>
      <c r="R1081" s="3" t="s">
        <v>68</v>
      </c>
      <c r="S1081" s="4">
        <v>2</v>
      </c>
      <c r="T1081" s="4">
        <v>2</v>
      </c>
      <c r="U1081" s="5" t="s">
        <v>12278</v>
      </c>
      <c r="V1081" s="5" t="s">
        <v>12278</v>
      </c>
      <c r="W1081" s="5" t="s">
        <v>1816</v>
      </c>
      <c r="X1081" s="5" t="s">
        <v>1816</v>
      </c>
      <c r="Y1081" s="4">
        <v>255</v>
      </c>
      <c r="Z1081" s="4">
        <v>197</v>
      </c>
      <c r="AA1081" s="4">
        <v>369</v>
      </c>
      <c r="AB1081" s="4">
        <v>2</v>
      </c>
      <c r="AC1081" s="4">
        <v>4</v>
      </c>
      <c r="AD1081" s="4">
        <v>12</v>
      </c>
      <c r="AE1081" s="4">
        <v>18</v>
      </c>
      <c r="AF1081" s="4">
        <v>3</v>
      </c>
      <c r="AG1081" s="4">
        <v>5</v>
      </c>
      <c r="AH1081" s="4">
        <v>2</v>
      </c>
      <c r="AI1081" s="4">
        <v>5</v>
      </c>
      <c r="AJ1081" s="4">
        <v>10</v>
      </c>
      <c r="AK1081" s="4">
        <v>11</v>
      </c>
      <c r="AL1081" s="4">
        <v>1</v>
      </c>
      <c r="AM1081" s="4">
        <v>2</v>
      </c>
      <c r="AN1081" s="4">
        <v>0</v>
      </c>
      <c r="AO1081" s="4">
        <v>0</v>
      </c>
      <c r="AP1081" s="3" t="s">
        <v>61</v>
      </c>
      <c r="AQ1081" s="3" t="s">
        <v>59</v>
      </c>
      <c r="AR1081" s="6" t="str">
        <f>HYPERLINK("http://catalog.hathitrust.org/Record/003076529","HathiTrust Record")</f>
        <v>HathiTrust Record</v>
      </c>
      <c r="AS1081" s="6" t="str">
        <f>HYPERLINK("https://creighton-primo.hosted.exlibrisgroup.com/primo-explore/search?tab=default_tab&amp;search_scope=EVERYTHING&amp;vid=01CRU&amp;lang=en_US&amp;offset=0&amp;query=any,contains,991002687829702656","Catalog Record")</f>
        <v>Catalog Record</v>
      </c>
      <c r="AT1081" s="6" t="str">
        <f>HYPERLINK("http://www.worldcat.org/oclc/35111177","WorldCat Record")</f>
        <v>WorldCat Record</v>
      </c>
      <c r="AU1081" s="3" t="s">
        <v>12279</v>
      </c>
      <c r="AV1081" s="3" t="s">
        <v>12280</v>
      </c>
      <c r="AW1081" s="3" t="s">
        <v>12281</v>
      </c>
      <c r="AX1081" s="3" t="s">
        <v>12281</v>
      </c>
      <c r="AY1081" s="3" t="s">
        <v>12282</v>
      </c>
      <c r="AZ1081" s="3" t="s">
        <v>75</v>
      </c>
      <c r="BB1081" s="3" t="s">
        <v>12283</v>
      </c>
      <c r="BC1081" s="3" t="s">
        <v>12284</v>
      </c>
      <c r="BD1081" s="3" t="s">
        <v>12285</v>
      </c>
    </row>
    <row r="1082" spans="1:56" ht="44.25" customHeight="1" x14ac:dyDescent="0.25">
      <c r="A1082" s="7" t="s">
        <v>61</v>
      </c>
      <c r="B1082" s="2" t="s">
        <v>12286</v>
      </c>
      <c r="C1082" s="2" t="s">
        <v>12287</v>
      </c>
      <c r="D1082" s="2" t="s">
        <v>12288</v>
      </c>
      <c r="F1082" s="3" t="s">
        <v>61</v>
      </c>
      <c r="G1082" s="3" t="s">
        <v>60</v>
      </c>
      <c r="H1082" s="3" t="s">
        <v>61</v>
      </c>
      <c r="I1082" s="3" t="s">
        <v>61</v>
      </c>
      <c r="J1082" s="3" t="s">
        <v>62</v>
      </c>
      <c r="K1082" s="2" t="s">
        <v>12289</v>
      </c>
      <c r="L1082" s="2" t="s">
        <v>12290</v>
      </c>
      <c r="M1082" s="3" t="s">
        <v>1074</v>
      </c>
      <c r="N1082" s="2" t="s">
        <v>634</v>
      </c>
      <c r="O1082" s="3" t="s">
        <v>114</v>
      </c>
      <c r="P1082" s="3" t="s">
        <v>115</v>
      </c>
      <c r="R1082" s="3" t="s">
        <v>68</v>
      </c>
      <c r="S1082" s="4">
        <v>3</v>
      </c>
      <c r="T1082" s="4">
        <v>3</v>
      </c>
      <c r="U1082" s="5" t="s">
        <v>12291</v>
      </c>
      <c r="V1082" s="5" t="s">
        <v>12291</v>
      </c>
      <c r="W1082" s="5" t="s">
        <v>12292</v>
      </c>
      <c r="X1082" s="5" t="s">
        <v>12292</v>
      </c>
      <c r="Y1082" s="4">
        <v>1083</v>
      </c>
      <c r="Z1082" s="4">
        <v>1000</v>
      </c>
      <c r="AA1082" s="4">
        <v>1072</v>
      </c>
      <c r="AB1082" s="4">
        <v>6</v>
      </c>
      <c r="AC1082" s="4">
        <v>7</v>
      </c>
      <c r="AD1082" s="4">
        <v>30</v>
      </c>
      <c r="AE1082" s="4">
        <v>33</v>
      </c>
      <c r="AF1082" s="4">
        <v>12</v>
      </c>
      <c r="AG1082" s="4">
        <v>13</v>
      </c>
      <c r="AH1082" s="4">
        <v>7</v>
      </c>
      <c r="AI1082" s="4">
        <v>7</v>
      </c>
      <c r="AJ1082" s="4">
        <v>14</v>
      </c>
      <c r="AK1082" s="4">
        <v>16</v>
      </c>
      <c r="AL1082" s="4">
        <v>4</v>
      </c>
      <c r="AM1082" s="4">
        <v>5</v>
      </c>
      <c r="AN1082" s="4">
        <v>0</v>
      </c>
      <c r="AO1082" s="4">
        <v>0</v>
      </c>
      <c r="AP1082" s="3" t="s">
        <v>61</v>
      </c>
      <c r="AQ1082" s="3" t="s">
        <v>61</v>
      </c>
      <c r="AS1082" s="6" t="str">
        <f>HYPERLINK("https://creighton-primo.hosted.exlibrisgroup.com/primo-explore/search?tab=default_tab&amp;search_scope=EVERYTHING&amp;vid=01CRU&amp;lang=en_US&amp;offset=0&amp;query=any,contains,991000671359702656","Catalog Record")</f>
        <v>Catalog Record</v>
      </c>
      <c r="AT1082" s="6" t="str">
        <f>HYPERLINK("http://www.worldcat.org/oclc/12315395","WorldCat Record")</f>
        <v>WorldCat Record</v>
      </c>
      <c r="AU1082" s="3" t="s">
        <v>12293</v>
      </c>
      <c r="AV1082" s="3" t="s">
        <v>12294</v>
      </c>
      <c r="AW1082" s="3" t="s">
        <v>12295</v>
      </c>
      <c r="AX1082" s="3" t="s">
        <v>12295</v>
      </c>
      <c r="AY1082" s="3" t="s">
        <v>12296</v>
      </c>
      <c r="AZ1082" s="3" t="s">
        <v>75</v>
      </c>
      <c r="BB1082" s="3" t="s">
        <v>12297</v>
      </c>
      <c r="BC1082" s="3" t="s">
        <v>12298</v>
      </c>
      <c r="BD1082" s="3" t="s">
        <v>12299</v>
      </c>
    </row>
    <row r="1083" spans="1:56" ht="44.25" customHeight="1" x14ac:dyDescent="0.25">
      <c r="A1083" s="7" t="s">
        <v>61</v>
      </c>
      <c r="B1083" s="2" t="s">
        <v>12300</v>
      </c>
      <c r="C1083" s="2" t="s">
        <v>12301</v>
      </c>
      <c r="D1083" s="2" t="s">
        <v>12302</v>
      </c>
      <c r="F1083" s="3" t="s">
        <v>61</v>
      </c>
      <c r="G1083" s="3" t="s">
        <v>60</v>
      </c>
      <c r="H1083" s="3" t="s">
        <v>61</v>
      </c>
      <c r="I1083" s="3" t="s">
        <v>61</v>
      </c>
      <c r="J1083" s="3" t="s">
        <v>62</v>
      </c>
      <c r="L1083" s="2" t="s">
        <v>12303</v>
      </c>
      <c r="M1083" s="3" t="s">
        <v>451</v>
      </c>
      <c r="N1083" s="2" t="s">
        <v>12304</v>
      </c>
      <c r="O1083" s="3" t="s">
        <v>114</v>
      </c>
      <c r="P1083" s="3" t="s">
        <v>235</v>
      </c>
      <c r="R1083" s="3" t="s">
        <v>68</v>
      </c>
      <c r="S1083" s="4">
        <v>3</v>
      </c>
      <c r="T1083" s="4">
        <v>3</v>
      </c>
      <c r="U1083" s="5" t="s">
        <v>12305</v>
      </c>
      <c r="V1083" s="5" t="s">
        <v>12305</v>
      </c>
      <c r="W1083" s="5" t="s">
        <v>12306</v>
      </c>
      <c r="X1083" s="5" t="s">
        <v>12306</v>
      </c>
      <c r="Y1083" s="4">
        <v>284</v>
      </c>
      <c r="Z1083" s="4">
        <v>249</v>
      </c>
      <c r="AA1083" s="4">
        <v>287</v>
      </c>
      <c r="AB1083" s="4">
        <v>2</v>
      </c>
      <c r="AC1083" s="4">
        <v>2</v>
      </c>
      <c r="AD1083" s="4">
        <v>11</v>
      </c>
      <c r="AE1083" s="4">
        <v>13</v>
      </c>
      <c r="AF1083" s="4">
        <v>3</v>
      </c>
      <c r="AG1083" s="4">
        <v>3</v>
      </c>
      <c r="AH1083" s="4">
        <v>2</v>
      </c>
      <c r="AI1083" s="4">
        <v>4</v>
      </c>
      <c r="AJ1083" s="4">
        <v>7</v>
      </c>
      <c r="AK1083" s="4">
        <v>8</v>
      </c>
      <c r="AL1083" s="4">
        <v>1</v>
      </c>
      <c r="AM1083" s="4">
        <v>1</v>
      </c>
      <c r="AN1083" s="4">
        <v>0</v>
      </c>
      <c r="AO1083" s="4">
        <v>0</v>
      </c>
      <c r="AP1083" s="3" t="s">
        <v>61</v>
      </c>
      <c r="AQ1083" s="3" t="s">
        <v>61</v>
      </c>
      <c r="AS1083" s="6" t="str">
        <f>HYPERLINK("https://creighton-primo.hosted.exlibrisgroup.com/primo-explore/search?tab=default_tab&amp;search_scope=EVERYTHING&amp;vid=01CRU&amp;lang=en_US&amp;offset=0&amp;query=any,contains,991003019389702656","Catalog Record")</f>
        <v>Catalog Record</v>
      </c>
      <c r="AT1083" s="6" t="str">
        <f>HYPERLINK("http://www.worldcat.org/oclc/41108561","WorldCat Record")</f>
        <v>WorldCat Record</v>
      </c>
      <c r="AU1083" s="3" t="s">
        <v>12307</v>
      </c>
      <c r="AV1083" s="3" t="s">
        <v>12308</v>
      </c>
      <c r="AW1083" s="3" t="s">
        <v>12309</v>
      </c>
      <c r="AX1083" s="3" t="s">
        <v>12309</v>
      </c>
      <c r="AY1083" s="3" t="s">
        <v>12310</v>
      </c>
      <c r="AZ1083" s="3" t="s">
        <v>75</v>
      </c>
      <c r="BB1083" s="3" t="s">
        <v>12311</v>
      </c>
      <c r="BC1083" s="3" t="s">
        <v>12312</v>
      </c>
      <c r="BD1083" s="3" t="s">
        <v>12313</v>
      </c>
    </row>
    <row r="1084" spans="1:56" ht="44.25" customHeight="1" x14ac:dyDescent="0.25">
      <c r="A1084" s="7" t="s">
        <v>61</v>
      </c>
      <c r="B1084" s="2" t="s">
        <v>12314</v>
      </c>
      <c r="C1084" s="2" t="s">
        <v>12315</v>
      </c>
      <c r="D1084" s="2" t="s">
        <v>12316</v>
      </c>
      <c r="F1084" s="3" t="s">
        <v>61</v>
      </c>
      <c r="G1084" s="3" t="s">
        <v>60</v>
      </c>
      <c r="H1084" s="3" t="s">
        <v>61</v>
      </c>
      <c r="I1084" s="3" t="s">
        <v>61</v>
      </c>
      <c r="J1084" s="3" t="s">
        <v>62</v>
      </c>
      <c r="K1084" s="2" t="s">
        <v>12317</v>
      </c>
      <c r="L1084" s="2" t="s">
        <v>12318</v>
      </c>
      <c r="M1084" s="3" t="s">
        <v>1758</v>
      </c>
      <c r="O1084" s="3" t="s">
        <v>114</v>
      </c>
      <c r="P1084" s="3" t="s">
        <v>12319</v>
      </c>
      <c r="R1084" s="3" t="s">
        <v>68</v>
      </c>
      <c r="S1084" s="4">
        <v>2</v>
      </c>
      <c r="T1084" s="4">
        <v>2</v>
      </c>
      <c r="U1084" s="5" t="s">
        <v>12320</v>
      </c>
      <c r="V1084" s="5" t="s">
        <v>12320</v>
      </c>
      <c r="W1084" s="5" t="s">
        <v>12292</v>
      </c>
      <c r="X1084" s="5" t="s">
        <v>12292</v>
      </c>
      <c r="Y1084" s="4">
        <v>698</v>
      </c>
      <c r="Z1084" s="4">
        <v>607</v>
      </c>
      <c r="AA1084" s="4">
        <v>723</v>
      </c>
      <c r="AB1084" s="4">
        <v>4</v>
      </c>
      <c r="AC1084" s="4">
        <v>4</v>
      </c>
      <c r="AD1084" s="4">
        <v>18</v>
      </c>
      <c r="AE1084" s="4">
        <v>21</v>
      </c>
      <c r="AF1084" s="4">
        <v>6</v>
      </c>
      <c r="AG1084" s="4">
        <v>8</v>
      </c>
      <c r="AH1084" s="4">
        <v>6</v>
      </c>
      <c r="AI1084" s="4">
        <v>6</v>
      </c>
      <c r="AJ1084" s="4">
        <v>11</v>
      </c>
      <c r="AK1084" s="4">
        <v>12</v>
      </c>
      <c r="AL1084" s="4">
        <v>3</v>
      </c>
      <c r="AM1084" s="4">
        <v>3</v>
      </c>
      <c r="AN1084" s="4">
        <v>0</v>
      </c>
      <c r="AO1084" s="4">
        <v>0</v>
      </c>
      <c r="AP1084" s="3" t="s">
        <v>61</v>
      </c>
      <c r="AQ1084" s="3" t="s">
        <v>61</v>
      </c>
      <c r="AS1084" s="6" t="str">
        <f>HYPERLINK("https://creighton-primo.hosted.exlibrisgroup.com/primo-explore/search?tab=default_tab&amp;search_scope=EVERYTHING&amp;vid=01CRU&amp;lang=en_US&amp;offset=0&amp;query=any,contains,991005091729702656","Catalog Record")</f>
        <v>Catalog Record</v>
      </c>
      <c r="AT1084" s="6" t="str">
        <f>HYPERLINK("http://www.worldcat.org/oclc/7228683","WorldCat Record")</f>
        <v>WorldCat Record</v>
      </c>
      <c r="AU1084" s="3" t="s">
        <v>12321</v>
      </c>
      <c r="AV1084" s="3" t="s">
        <v>12322</v>
      </c>
      <c r="AW1084" s="3" t="s">
        <v>12323</v>
      </c>
      <c r="AX1084" s="3" t="s">
        <v>12323</v>
      </c>
      <c r="AY1084" s="3" t="s">
        <v>12324</v>
      </c>
      <c r="AZ1084" s="3" t="s">
        <v>75</v>
      </c>
      <c r="BB1084" s="3" t="s">
        <v>12325</v>
      </c>
      <c r="BC1084" s="3" t="s">
        <v>12326</v>
      </c>
      <c r="BD1084" s="3" t="s">
        <v>12327</v>
      </c>
    </row>
    <row r="1085" spans="1:56" ht="44.25" customHeight="1" x14ac:dyDescent="0.25">
      <c r="A1085" s="7" t="s">
        <v>61</v>
      </c>
      <c r="B1085" s="2" t="s">
        <v>12328</v>
      </c>
      <c r="C1085" s="2" t="s">
        <v>12329</v>
      </c>
      <c r="D1085" s="2" t="s">
        <v>12330</v>
      </c>
      <c r="F1085" s="3" t="s">
        <v>61</v>
      </c>
      <c r="G1085" s="3" t="s">
        <v>60</v>
      </c>
      <c r="H1085" s="3" t="s">
        <v>61</v>
      </c>
      <c r="I1085" s="3" t="s">
        <v>61</v>
      </c>
      <c r="J1085" s="3" t="s">
        <v>62</v>
      </c>
      <c r="K1085" s="2" t="s">
        <v>12331</v>
      </c>
      <c r="L1085" s="2" t="s">
        <v>12332</v>
      </c>
      <c r="M1085" s="3" t="s">
        <v>466</v>
      </c>
      <c r="O1085" s="3" t="s">
        <v>114</v>
      </c>
      <c r="P1085" s="3" t="s">
        <v>192</v>
      </c>
      <c r="R1085" s="3" t="s">
        <v>68</v>
      </c>
      <c r="S1085" s="4">
        <v>5</v>
      </c>
      <c r="T1085" s="4">
        <v>5</v>
      </c>
      <c r="U1085" s="5" t="s">
        <v>8847</v>
      </c>
      <c r="V1085" s="5" t="s">
        <v>8847</v>
      </c>
      <c r="W1085" s="5" t="s">
        <v>11131</v>
      </c>
      <c r="X1085" s="5" t="s">
        <v>11131</v>
      </c>
      <c r="Y1085" s="4">
        <v>207</v>
      </c>
      <c r="Z1085" s="4">
        <v>60</v>
      </c>
      <c r="AA1085" s="4">
        <v>98</v>
      </c>
      <c r="AB1085" s="4">
        <v>3</v>
      </c>
      <c r="AC1085" s="4">
        <v>3</v>
      </c>
      <c r="AD1085" s="4">
        <v>3</v>
      </c>
      <c r="AE1085" s="4">
        <v>3</v>
      </c>
      <c r="AF1085" s="4">
        <v>0</v>
      </c>
      <c r="AG1085" s="4">
        <v>0</v>
      </c>
      <c r="AH1085" s="4">
        <v>1</v>
      </c>
      <c r="AI1085" s="4">
        <v>1</v>
      </c>
      <c r="AJ1085" s="4">
        <v>1</v>
      </c>
      <c r="AK1085" s="4">
        <v>1</v>
      </c>
      <c r="AL1085" s="4">
        <v>2</v>
      </c>
      <c r="AM1085" s="4">
        <v>2</v>
      </c>
      <c r="AN1085" s="4">
        <v>0</v>
      </c>
      <c r="AO1085" s="4">
        <v>0</v>
      </c>
      <c r="AP1085" s="3" t="s">
        <v>61</v>
      </c>
      <c r="AQ1085" s="3" t="s">
        <v>59</v>
      </c>
      <c r="AR1085" s="6" t="str">
        <f>HYPERLINK("http://catalog.hathitrust.org/Record/101996656","HathiTrust Record")</f>
        <v>HathiTrust Record</v>
      </c>
      <c r="AS1085" s="6" t="str">
        <f>HYPERLINK("https://creighton-primo.hosted.exlibrisgroup.com/primo-explore/search?tab=default_tab&amp;search_scope=EVERYTHING&amp;vid=01CRU&amp;lang=en_US&amp;offset=0&amp;query=any,contains,991004725449702656","Catalog Record")</f>
        <v>Catalog Record</v>
      </c>
      <c r="AT1085" s="6" t="str">
        <f>HYPERLINK("http://www.worldcat.org/oclc/4808900","WorldCat Record")</f>
        <v>WorldCat Record</v>
      </c>
      <c r="AU1085" s="3" t="s">
        <v>12333</v>
      </c>
      <c r="AV1085" s="3" t="s">
        <v>12334</v>
      </c>
      <c r="AW1085" s="3" t="s">
        <v>12335</v>
      </c>
      <c r="AX1085" s="3" t="s">
        <v>12335</v>
      </c>
      <c r="AY1085" s="3" t="s">
        <v>12336</v>
      </c>
      <c r="AZ1085" s="3" t="s">
        <v>75</v>
      </c>
      <c r="BB1085" s="3" t="s">
        <v>12337</v>
      </c>
      <c r="BC1085" s="3" t="s">
        <v>12338</v>
      </c>
      <c r="BD1085" s="3" t="s">
        <v>12339</v>
      </c>
    </row>
    <row r="1086" spans="1:56" ht="44.25" customHeight="1" x14ac:dyDescent="0.25">
      <c r="A1086" s="7" t="s">
        <v>61</v>
      </c>
      <c r="B1086" s="2" t="s">
        <v>12340</v>
      </c>
      <c r="C1086" s="2" t="s">
        <v>12341</v>
      </c>
      <c r="D1086" s="2" t="s">
        <v>12342</v>
      </c>
      <c r="F1086" s="3" t="s">
        <v>61</v>
      </c>
      <c r="G1086" s="3" t="s">
        <v>60</v>
      </c>
      <c r="H1086" s="3" t="s">
        <v>61</v>
      </c>
      <c r="I1086" s="3" t="s">
        <v>61</v>
      </c>
      <c r="J1086" s="3" t="s">
        <v>62</v>
      </c>
      <c r="K1086" s="2" t="s">
        <v>12343</v>
      </c>
      <c r="L1086" s="2" t="s">
        <v>12344</v>
      </c>
      <c r="M1086" s="3" t="s">
        <v>3279</v>
      </c>
      <c r="O1086" s="3" t="s">
        <v>114</v>
      </c>
      <c r="P1086" s="3" t="s">
        <v>649</v>
      </c>
      <c r="R1086" s="3" t="s">
        <v>68</v>
      </c>
      <c r="S1086" s="4">
        <v>2</v>
      </c>
      <c r="T1086" s="4">
        <v>2</v>
      </c>
      <c r="U1086" s="5" t="s">
        <v>12345</v>
      </c>
      <c r="V1086" s="5" t="s">
        <v>12345</v>
      </c>
      <c r="W1086" s="5" t="s">
        <v>12346</v>
      </c>
      <c r="X1086" s="5" t="s">
        <v>12346</v>
      </c>
      <c r="Y1086" s="4">
        <v>1685</v>
      </c>
      <c r="Z1086" s="4">
        <v>1465</v>
      </c>
      <c r="AA1086" s="4">
        <v>1500</v>
      </c>
      <c r="AB1086" s="4">
        <v>17</v>
      </c>
      <c r="AC1086" s="4">
        <v>17</v>
      </c>
      <c r="AD1086" s="4">
        <v>53</v>
      </c>
      <c r="AE1086" s="4">
        <v>54</v>
      </c>
      <c r="AF1086" s="4">
        <v>22</v>
      </c>
      <c r="AG1086" s="4">
        <v>23</v>
      </c>
      <c r="AH1086" s="4">
        <v>9</v>
      </c>
      <c r="AI1086" s="4">
        <v>9</v>
      </c>
      <c r="AJ1086" s="4">
        <v>25</v>
      </c>
      <c r="AK1086" s="4">
        <v>25</v>
      </c>
      <c r="AL1086" s="4">
        <v>10</v>
      </c>
      <c r="AM1086" s="4">
        <v>10</v>
      </c>
      <c r="AN1086" s="4">
        <v>0</v>
      </c>
      <c r="AO1086" s="4">
        <v>0</v>
      </c>
      <c r="AP1086" s="3" t="s">
        <v>61</v>
      </c>
      <c r="AQ1086" s="3" t="s">
        <v>61</v>
      </c>
      <c r="AS1086" s="6" t="str">
        <f>HYPERLINK("https://creighton-primo.hosted.exlibrisgroup.com/primo-explore/search?tab=default_tab&amp;search_scope=EVERYTHING&amp;vid=01CRU&amp;lang=en_US&amp;offset=0&amp;query=any,contains,991002006599702656","Catalog Record")</f>
        <v>Catalog Record</v>
      </c>
      <c r="AT1086" s="6" t="str">
        <f>HYPERLINK("http://www.worldcat.org/oclc/258284","WorldCat Record")</f>
        <v>WorldCat Record</v>
      </c>
      <c r="AU1086" s="3" t="s">
        <v>12347</v>
      </c>
      <c r="AV1086" s="3" t="s">
        <v>12348</v>
      </c>
      <c r="AW1086" s="3" t="s">
        <v>12349</v>
      </c>
      <c r="AX1086" s="3" t="s">
        <v>12349</v>
      </c>
      <c r="AY1086" s="3" t="s">
        <v>12350</v>
      </c>
      <c r="AZ1086" s="3" t="s">
        <v>75</v>
      </c>
      <c r="BB1086" s="3" t="s">
        <v>12351</v>
      </c>
      <c r="BC1086" s="3" t="s">
        <v>12352</v>
      </c>
      <c r="BD1086" s="3" t="s">
        <v>12353</v>
      </c>
    </row>
    <row r="1087" spans="1:56" ht="44.25" customHeight="1" x14ac:dyDescent="0.25">
      <c r="A1087" s="7" t="s">
        <v>61</v>
      </c>
      <c r="B1087" s="2" t="s">
        <v>12354</v>
      </c>
      <c r="C1087" s="2" t="s">
        <v>12355</v>
      </c>
      <c r="D1087" s="2" t="s">
        <v>12356</v>
      </c>
      <c r="F1087" s="3" t="s">
        <v>61</v>
      </c>
      <c r="G1087" s="3" t="s">
        <v>60</v>
      </c>
      <c r="H1087" s="3" t="s">
        <v>61</v>
      </c>
      <c r="I1087" s="3" t="s">
        <v>61</v>
      </c>
      <c r="J1087" s="3" t="s">
        <v>62</v>
      </c>
      <c r="K1087" s="2" t="s">
        <v>12357</v>
      </c>
      <c r="L1087" s="2" t="s">
        <v>12358</v>
      </c>
      <c r="M1087" s="3" t="s">
        <v>350</v>
      </c>
      <c r="O1087" s="3" t="s">
        <v>114</v>
      </c>
      <c r="P1087" s="3" t="s">
        <v>235</v>
      </c>
      <c r="R1087" s="3" t="s">
        <v>68</v>
      </c>
      <c r="S1087" s="4">
        <v>1</v>
      </c>
      <c r="T1087" s="4">
        <v>1</v>
      </c>
      <c r="U1087" s="5" t="s">
        <v>12359</v>
      </c>
      <c r="V1087" s="5" t="s">
        <v>12359</v>
      </c>
      <c r="W1087" s="5" t="s">
        <v>12292</v>
      </c>
      <c r="X1087" s="5" t="s">
        <v>12292</v>
      </c>
      <c r="Y1087" s="4">
        <v>1185</v>
      </c>
      <c r="Z1087" s="4">
        <v>1113</v>
      </c>
      <c r="AA1087" s="4">
        <v>1247</v>
      </c>
      <c r="AB1087" s="4">
        <v>11</v>
      </c>
      <c r="AC1087" s="4">
        <v>12</v>
      </c>
      <c r="AD1087" s="4">
        <v>24</v>
      </c>
      <c r="AE1087" s="4">
        <v>28</v>
      </c>
      <c r="AF1087" s="4">
        <v>9</v>
      </c>
      <c r="AG1087" s="4">
        <v>10</v>
      </c>
      <c r="AH1087" s="4">
        <v>5</v>
      </c>
      <c r="AI1087" s="4">
        <v>6</v>
      </c>
      <c r="AJ1087" s="4">
        <v>13</v>
      </c>
      <c r="AK1087" s="4">
        <v>15</v>
      </c>
      <c r="AL1087" s="4">
        <v>5</v>
      </c>
      <c r="AM1087" s="4">
        <v>5</v>
      </c>
      <c r="AN1087" s="4">
        <v>0</v>
      </c>
      <c r="AO1087" s="4">
        <v>0</v>
      </c>
      <c r="AP1087" s="3" t="s">
        <v>61</v>
      </c>
      <c r="AQ1087" s="3" t="s">
        <v>59</v>
      </c>
      <c r="AR1087" s="6" t="str">
        <f>HYPERLINK("http://catalog.hathitrust.org/Record/000216140","HathiTrust Record")</f>
        <v>HathiTrust Record</v>
      </c>
      <c r="AS1087" s="6" t="str">
        <f>HYPERLINK("https://creighton-primo.hosted.exlibrisgroup.com/primo-explore/search?tab=default_tab&amp;search_scope=EVERYTHING&amp;vid=01CRU&amp;lang=en_US&amp;offset=0&amp;query=any,contains,991004606939702656","Catalog Record")</f>
        <v>Catalog Record</v>
      </c>
      <c r="AT1087" s="6" t="str">
        <f>HYPERLINK("http://www.worldcat.org/oclc/4195075","WorldCat Record")</f>
        <v>WorldCat Record</v>
      </c>
      <c r="AU1087" s="3" t="s">
        <v>12360</v>
      </c>
      <c r="AV1087" s="3" t="s">
        <v>12361</v>
      </c>
      <c r="AW1087" s="3" t="s">
        <v>12362</v>
      </c>
      <c r="AX1087" s="3" t="s">
        <v>12362</v>
      </c>
      <c r="AY1087" s="3" t="s">
        <v>12363</v>
      </c>
      <c r="AZ1087" s="3" t="s">
        <v>75</v>
      </c>
      <c r="BB1087" s="3" t="s">
        <v>12364</v>
      </c>
      <c r="BC1087" s="3" t="s">
        <v>12365</v>
      </c>
      <c r="BD1087" s="3" t="s">
        <v>12366</v>
      </c>
    </row>
    <row r="1088" spans="1:56" ht="44.25" customHeight="1" x14ac:dyDescent="0.25">
      <c r="A1088" s="7" t="s">
        <v>61</v>
      </c>
      <c r="B1088" s="2" t="s">
        <v>12367</v>
      </c>
      <c r="C1088" s="2" t="s">
        <v>12368</v>
      </c>
      <c r="D1088" s="2" t="s">
        <v>12369</v>
      </c>
      <c r="F1088" s="3" t="s">
        <v>61</v>
      </c>
      <c r="G1088" s="3" t="s">
        <v>60</v>
      </c>
      <c r="H1088" s="3" t="s">
        <v>61</v>
      </c>
      <c r="I1088" s="3" t="s">
        <v>61</v>
      </c>
      <c r="J1088" s="3" t="s">
        <v>62</v>
      </c>
      <c r="K1088" s="2" t="s">
        <v>12357</v>
      </c>
      <c r="L1088" s="2" t="s">
        <v>12370</v>
      </c>
      <c r="M1088" s="3" t="s">
        <v>2391</v>
      </c>
      <c r="N1088" s="2" t="s">
        <v>634</v>
      </c>
      <c r="O1088" s="3" t="s">
        <v>114</v>
      </c>
      <c r="P1088" s="3" t="s">
        <v>235</v>
      </c>
      <c r="R1088" s="3" t="s">
        <v>68</v>
      </c>
      <c r="S1088" s="4">
        <v>14</v>
      </c>
      <c r="T1088" s="4">
        <v>14</v>
      </c>
      <c r="U1088" s="5" t="s">
        <v>9356</v>
      </c>
      <c r="V1088" s="5" t="s">
        <v>9356</v>
      </c>
      <c r="W1088" s="5" t="s">
        <v>12371</v>
      </c>
      <c r="X1088" s="5" t="s">
        <v>12371</v>
      </c>
      <c r="Y1088" s="4">
        <v>1669</v>
      </c>
      <c r="Z1088" s="4">
        <v>1591</v>
      </c>
      <c r="AA1088" s="4">
        <v>1805</v>
      </c>
      <c r="AB1088" s="4">
        <v>16</v>
      </c>
      <c r="AC1088" s="4">
        <v>18</v>
      </c>
      <c r="AD1088" s="4">
        <v>43</v>
      </c>
      <c r="AE1088" s="4">
        <v>44</v>
      </c>
      <c r="AF1088" s="4">
        <v>20</v>
      </c>
      <c r="AG1088" s="4">
        <v>20</v>
      </c>
      <c r="AH1088" s="4">
        <v>7</v>
      </c>
      <c r="AI1088" s="4">
        <v>7</v>
      </c>
      <c r="AJ1088" s="4">
        <v>19</v>
      </c>
      <c r="AK1088" s="4">
        <v>19</v>
      </c>
      <c r="AL1088" s="4">
        <v>6</v>
      </c>
      <c r="AM1088" s="4">
        <v>7</v>
      </c>
      <c r="AN1088" s="4">
        <v>1</v>
      </c>
      <c r="AO1088" s="4">
        <v>1</v>
      </c>
      <c r="AP1088" s="3" t="s">
        <v>61</v>
      </c>
      <c r="AQ1088" s="3" t="s">
        <v>59</v>
      </c>
      <c r="AR1088" s="6" t="str">
        <f>HYPERLINK("http://catalog.hathitrust.org/Record/004584388","HathiTrust Record")</f>
        <v>HathiTrust Record</v>
      </c>
      <c r="AS1088" s="6" t="str">
        <f>HYPERLINK("https://creighton-primo.hosted.exlibrisgroup.com/primo-explore/search?tab=default_tab&amp;search_scope=EVERYTHING&amp;vid=01CRU&amp;lang=en_US&amp;offset=0&amp;query=any,contains,991003667349702656","Catalog Record")</f>
        <v>Catalog Record</v>
      </c>
      <c r="AT1088" s="6" t="str">
        <f>HYPERLINK("http://www.worldcat.org/oclc/45835550","WorldCat Record")</f>
        <v>WorldCat Record</v>
      </c>
      <c r="AU1088" s="3" t="s">
        <v>12372</v>
      </c>
      <c r="AV1088" s="3" t="s">
        <v>12373</v>
      </c>
      <c r="AW1088" s="3" t="s">
        <v>12374</v>
      </c>
      <c r="AX1088" s="3" t="s">
        <v>12374</v>
      </c>
      <c r="AY1088" s="3" t="s">
        <v>12375</v>
      </c>
      <c r="AZ1088" s="3" t="s">
        <v>75</v>
      </c>
      <c r="BB1088" s="3" t="s">
        <v>12376</v>
      </c>
      <c r="BC1088" s="3" t="s">
        <v>12377</v>
      </c>
      <c r="BD1088" s="3" t="s">
        <v>12378</v>
      </c>
    </row>
    <row r="1089" spans="1:56" ht="44.25" customHeight="1" x14ac:dyDescent="0.25">
      <c r="A1089" s="7" t="s">
        <v>61</v>
      </c>
      <c r="B1089" s="2" t="s">
        <v>12379</v>
      </c>
      <c r="C1089" s="2" t="s">
        <v>12380</v>
      </c>
      <c r="D1089" s="2" t="s">
        <v>12381</v>
      </c>
      <c r="F1089" s="3" t="s">
        <v>61</v>
      </c>
      <c r="G1089" s="3" t="s">
        <v>60</v>
      </c>
      <c r="H1089" s="3" t="s">
        <v>61</v>
      </c>
      <c r="I1089" s="3" t="s">
        <v>61</v>
      </c>
      <c r="J1089" s="3" t="s">
        <v>62</v>
      </c>
      <c r="K1089" s="2" t="s">
        <v>12382</v>
      </c>
      <c r="L1089" s="2" t="s">
        <v>12383</v>
      </c>
      <c r="M1089" s="3" t="s">
        <v>407</v>
      </c>
      <c r="N1089" s="2" t="s">
        <v>634</v>
      </c>
      <c r="O1089" s="3" t="s">
        <v>114</v>
      </c>
      <c r="P1089" s="3" t="s">
        <v>235</v>
      </c>
      <c r="R1089" s="3" t="s">
        <v>68</v>
      </c>
      <c r="S1089" s="4">
        <v>5</v>
      </c>
      <c r="T1089" s="4">
        <v>5</v>
      </c>
      <c r="U1089" s="5" t="s">
        <v>12384</v>
      </c>
      <c r="V1089" s="5" t="s">
        <v>12384</v>
      </c>
      <c r="W1089" s="5" t="s">
        <v>10322</v>
      </c>
      <c r="X1089" s="5" t="s">
        <v>10322</v>
      </c>
      <c r="Y1089" s="4">
        <v>1119</v>
      </c>
      <c r="Z1089" s="4">
        <v>1018</v>
      </c>
      <c r="AA1089" s="4">
        <v>1073</v>
      </c>
      <c r="AB1089" s="4">
        <v>11</v>
      </c>
      <c r="AC1089" s="4">
        <v>11</v>
      </c>
      <c r="AD1089" s="4">
        <v>24</v>
      </c>
      <c r="AE1089" s="4">
        <v>24</v>
      </c>
      <c r="AF1089" s="4">
        <v>7</v>
      </c>
      <c r="AG1089" s="4">
        <v>7</v>
      </c>
      <c r="AH1089" s="4">
        <v>5</v>
      </c>
      <c r="AI1089" s="4">
        <v>5</v>
      </c>
      <c r="AJ1089" s="4">
        <v>13</v>
      </c>
      <c r="AK1089" s="4">
        <v>13</v>
      </c>
      <c r="AL1089" s="4">
        <v>4</v>
      </c>
      <c r="AM1089" s="4">
        <v>4</v>
      </c>
      <c r="AN1089" s="4">
        <v>0</v>
      </c>
      <c r="AO1089" s="4">
        <v>0</v>
      </c>
      <c r="AP1089" s="3" t="s">
        <v>61</v>
      </c>
      <c r="AQ1089" s="3" t="s">
        <v>59</v>
      </c>
      <c r="AR1089" s="6" t="str">
        <f>HYPERLINK("http://catalog.hathitrust.org/Record/002989168","HathiTrust Record")</f>
        <v>HathiTrust Record</v>
      </c>
      <c r="AS1089" s="6" t="str">
        <f>HYPERLINK("https://creighton-primo.hosted.exlibrisgroup.com/primo-explore/search?tab=default_tab&amp;search_scope=EVERYTHING&amp;vid=01CRU&amp;lang=en_US&amp;offset=0&amp;query=any,contains,991002424409702656","Catalog Record")</f>
        <v>Catalog Record</v>
      </c>
      <c r="AT1089" s="6" t="str">
        <f>HYPERLINK("http://www.worldcat.org/oclc/31606517","WorldCat Record")</f>
        <v>WorldCat Record</v>
      </c>
      <c r="AU1089" s="3" t="s">
        <v>12385</v>
      </c>
      <c r="AV1089" s="3" t="s">
        <v>12386</v>
      </c>
      <c r="AW1089" s="3" t="s">
        <v>12387</v>
      </c>
      <c r="AX1089" s="3" t="s">
        <v>12387</v>
      </c>
      <c r="AY1089" s="3" t="s">
        <v>12388</v>
      </c>
      <c r="AZ1089" s="3" t="s">
        <v>75</v>
      </c>
      <c r="BB1089" s="3" t="s">
        <v>12389</v>
      </c>
      <c r="BC1089" s="3" t="s">
        <v>12390</v>
      </c>
      <c r="BD1089" s="3" t="s">
        <v>12391</v>
      </c>
    </row>
    <row r="1090" spans="1:56" ht="44.25" customHeight="1" x14ac:dyDescent="0.25">
      <c r="A1090" s="7" t="s">
        <v>61</v>
      </c>
      <c r="B1090" s="2" t="s">
        <v>12392</v>
      </c>
      <c r="C1090" s="2" t="s">
        <v>12393</v>
      </c>
      <c r="D1090" s="2" t="s">
        <v>12394</v>
      </c>
      <c r="F1090" s="3" t="s">
        <v>61</v>
      </c>
      <c r="G1090" s="3" t="s">
        <v>60</v>
      </c>
      <c r="H1090" s="3" t="s">
        <v>61</v>
      </c>
      <c r="I1090" s="3" t="s">
        <v>61</v>
      </c>
      <c r="J1090" s="3" t="s">
        <v>62</v>
      </c>
      <c r="K1090" s="2" t="s">
        <v>12395</v>
      </c>
      <c r="L1090" s="2" t="s">
        <v>12396</v>
      </c>
      <c r="M1090" s="3" t="s">
        <v>495</v>
      </c>
      <c r="O1090" s="3" t="s">
        <v>114</v>
      </c>
      <c r="P1090" s="3" t="s">
        <v>1674</v>
      </c>
      <c r="Q1090" s="2" t="s">
        <v>12397</v>
      </c>
      <c r="R1090" s="3" t="s">
        <v>68</v>
      </c>
      <c r="S1090" s="4">
        <v>3</v>
      </c>
      <c r="T1090" s="4">
        <v>3</v>
      </c>
      <c r="U1090" s="5" t="s">
        <v>12398</v>
      </c>
      <c r="V1090" s="5" t="s">
        <v>12398</v>
      </c>
      <c r="W1090" s="5" t="s">
        <v>12399</v>
      </c>
      <c r="X1090" s="5" t="s">
        <v>12399</v>
      </c>
      <c r="Y1090" s="4">
        <v>636</v>
      </c>
      <c r="Z1090" s="4">
        <v>542</v>
      </c>
      <c r="AA1090" s="4">
        <v>545</v>
      </c>
      <c r="AB1090" s="4">
        <v>3</v>
      </c>
      <c r="AC1090" s="4">
        <v>3</v>
      </c>
      <c r="AD1090" s="4">
        <v>24</v>
      </c>
      <c r="AE1090" s="4">
        <v>24</v>
      </c>
      <c r="AF1090" s="4">
        <v>9</v>
      </c>
      <c r="AG1090" s="4">
        <v>9</v>
      </c>
      <c r="AH1090" s="4">
        <v>5</v>
      </c>
      <c r="AI1090" s="4">
        <v>5</v>
      </c>
      <c r="AJ1090" s="4">
        <v>16</v>
      </c>
      <c r="AK1090" s="4">
        <v>16</v>
      </c>
      <c r="AL1090" s="4">
        <v>2</v>
      </c>
      <c r="AM1090" s="4">
        <v>2</v>
      </c>
      <c r="AN1090" s="4">
        <v>0</v>
      </c>
      <c r="AO1090" s="4">
        <v>0</v>
      </c>
      <c r="AP1090" s="3" t="s">
        <v>61</v>
      </c>
      <c r="AQ1090" s="3" t="s">
        <v>59</v>
      </c>
      <c r="AR1090" s="6" t="str">
        <f>HYPERLINK("http://catalog.hathitrust.org/Record/003092991","HathiTrust Record")</f>
        <v>HathiTrust Record</v>
      </c>
      <c r="AS1090" s="6" t="str">
        <f>HYPERLINK("https://creighton-primo.hosted.exlibrisgroup.com/primo-explore/search?tab=default_tab&amp;search_scope=EVERYTHING&amp;vid=01CRU&amp;lang=en_US&amp;offset=0&amp;query=any,contains,991002623399702656","Catalog Record")</f>
        <v>Catalog Record</v>
      </c>
      <c r="AT1090" s="6" t="str">
        <f>HYPERLINK("http://www.worldcat.org/oclc/34358599","WorldCat Record")</f>
        <v>WorldCat Record</v>
      </c>
      <c r="AU1090" s="3" t="s">
        <v>12400</v>
      </c>
      <c r="AV1090" s="3" t="s">
        <v>12401</v>
      </c>
      <c r="AW1090" s="3" t="s">
        <v>12402</v>
      </c>
      <c r="AX1090" s="3" t="s">
        <v>12402</v>
      </c>
      <c r="AY1090" s="3" t="s">
        <v>12403</v>
      </c>
      <c r="AZ1090" s="3" t="s">
        <v>75</v>
      </c>
      <c r="BB1090" s="3" t="s">
        <v>12404</v>
      </c>
      <c r="BC1090" s="3" t="s">
        <v>12405</v>
      </c>
      <c r="BD1090" s="3" t="s">
        <v>12406</v>
      </c>
    </row>
    <row r="1091" spans="1:56" ht="44.25" customHeight="1" x14ac:dyDescent="0.25">
      <c r="A1091" s="7" t="s">
        <v>61</v>
      </c>
      <c r="B1091" s="2" t="s">
        <v>12407</v>
      </c>
      <c r="C1091" s="2" t="s">
        <v>12408</v>
      </c>
      <c r="D1091" s="2" t="s">
        <v>12409</v>
      </c>
      <c r="F1091" s="3" t="s">
        <v>61</v>
      </c>
      <c r="G1091" s="3" t="s">
        <v>60</v>
      </c>
      <c r="H1091" s="3" t="s">
        <v>61</v>
      </c>
      <c r="I1091" s="3" t="s">
        <v>61</v>
      </c>
      <c r="J1091" s="3" t="s">
        <v>62</v>
      </c>
      <c r="K1091" s="2" t="s">
        <v>12410</v>
      </c>
      <c r="L1091" s="2" t="s">
        <v>12411</v>
      </c>
      <c r="M1091" s="3" t="s">
        <v>291</v>
      </c>
      <c r="O1091" s="3" t="s">
        <v>114</v>
      </c>
      <c r="P1091" s="3" t="s">
        <v>2432</v>
      </c>
      <c r="R1091" s="3" t="s">
        <v>68</v>
      </c>
      <c r="S1091" s="4">
        <v>5</v>
      </c>
      <c r="T1091" s="4">
        <v>5</v>
      </c>
      <c r="U1091" s="5" t="s">
        <v>12412</v>
      </c>
      <c r="V1091" s="5" t="s">
        <v>12412</v>
      </c>
      <c r="W1091" s="5" t="s">
        <v>11908</v>
      </c>
      <c r="X1091" s="5" t="s">
        <v>11908</v>
      </c>
      <c r="Y1091" s="4">
        <v>202</v>
      </c>
      <c r="Z1091" s="4">
        <v>172</v>
      </c>
      <c r="AA1091" s="4">
        <v>175</v>
      </c>
      <c r="AB1091" s="4">
        <v>2</v>
      </c>
      <c r="AC1091" s="4">
        <v>2</v>
      </c>
      <c r="AD1091" s="4">
        <v>10</v>
      </c>
      <c r="AE1091" s="4">
        <v>10</v>
      </c>
      <c r="AF1091" s="4">
        <v>3</v>
      </c>
      <c r="AG1091" s="4">
        <v>3</v>
      </c>
      <c r="AH1091" s="4">
        <v>3</v>
      </c>
      <c r="AI1091" s="4">
        <v>3</v>
      </c>
      <c r="AJ1091" s="4">
        <v>6</v>
      </c>
      <c r="AK1091" s="4">
        <v>6</v>
      </c>
      <c r="AL1091" s="4">
        <v>1</v>
      </c>
      <c r="AM1091" s="4">
        <v>1</v>
      </c>
      <c r="AN1091" s="4">
        <v>0</v>
      </c>
      <c r="AO1091" s="4">
        <v>0</v>
      </c>
      <c r="AP1091" s="3" t="s">
        <v>61</v>
      </c>
      <c r="AQ1091" s="3" t="s">
        <v>59</v>
      </c>
      <c r="AR1091" s="6" t="str">
        <f>HYPERLINK("http://catalog.hathitrust.org/Record/000738507","HathiTrust Record")</f>
        <v>HathiTrust Record</v>
      </c>
      <c r="AS1091" s="6" t="str">
        <f>HYPERLINK("https://creighton-primo.hosted.exlibrisgroup.com/primo-explore/search?tab=default_tab&amp;search_scope=EVERYTHING&amp;vid=01CRU&amp;lang=en_US&amp;offset=0&amp;query=any,contains,991005088309702656","Catalog Record")</f>
        <v>Catalog Record</v>
      </c>
      <c r="AT1091" s="6" t="str">
        <f>HYPERLINK("http://www.worldcat.org/oclc/7200660","WorldCat Record")</f>
        <v>WorldCat Record</v>
      </c>
      <c r="AU1091" s="3" t="s">
        <v>12413</v>
      </c>
      <c r="AV1091" s="3" t="s">
        <v>12414</v>
      </c>
      <c r="AW1091" s="3" t="s">
        <v>12415</v>
      </c>
      <c r="AX1091" s="3" t="s">
        <v>12415</v>
      </c>
      <c r="AY1091" s="3" t="s">
        <v>12416</v>
      </c>
      <c r="AZ1091" s="3" t="s">
        <v>75</v>
      </c>
      <c r="BB1091" s="3" t="s">
        <v>12417</v>
      </c>
      <c r="BC1091" s="3" t="s">
        <v>12418</v>
      </c>
      <c r="BD1091" s="3" t="s">
        <v>12419</v>
      </c>
    </row>
    <row r="1092" spans="1:56" ht="44.25" customHeight="1" x14ac:dyDescent="0.25">
      <c r="A1092" s="7" t="s">
        <v>61</v>
      </c>
      <c r="B1092" s="2" t="s">
        <v>12420</v>
      </c>
      <c r="C1092" s="2" t="s">
        <v>12421</v>
      </c>
      <c r="D1092" s="2" t="s">
        <v>12422</v>
      </c>
      <c r="F1092" s="3" t="s">
        <v>61</v>
      </c>
      <c r="G1092" s="3" t="s">
        <v>60</v>
      </c>
      <c r="H1092" s="3" t="s">
        <v>61</v>
      </c>
      <c r="I1092" s="3" t="s">
        <v>61</v>
      </c>
      <c r="J1092" s="3" t="s">
        <v>62</v>
      </c>
      <c r="K1092" s="2" t="s">
        <v>12423</v>
      </c>
      <c r="L1092" s="2" t="s">
        <v>12424</v>
      </c>
      <c r="M1092" s="3" t="s">
        <v>1074</v>
      </c>
      <c r="O1092" s="3" t="s">
        <v>114</v>
      </c>
      <c r="P1092" s="3" t="s">
        <v>192</v>
      </c>
      <c r="R1092" s="3" t="s">
        <v>68</v>
      </c>
      <c r="S1092" s="4">
        <v>11</v>
      </c>
      <c r="T1092" s="4">
        <v>11</v>
      </c>
      <c r="U1092" s="5" t="s">
        <v>3441</v>
      </c>
      <c r="V1092" s="5" t="s">
        <v>3441</v>
      </c>
      <c r="W1092" s="5" t="s">
        <v>12292</v>
      </c>
      <c r="X1092" s="5" t="s">
        <v>12292</v>
      </c>
      <c r="Y1092" s="4">
        <v>146</v>
      </c>
      <c r="Z1092" s="4">
        <v>66</v>
      </c>
      <c r="AA1092" s="4">
        <v>383</v>
      </c>
      <c r="AB1092" s="4">
        <v>3</v>
      </c>
      <c r="AC1092" s="4">
        <v>4</v>
      </c>
      <c r="AD1092" s="4">
        <v>2</v>
      </c>
      <c r="AE1092" s="4">
        <v>11</v>
      </c>
      <c r="AF1092" s="4">
        <v>0</v>
      </c>
      <c r="AG1092" s="4">
        <v>2</v>
      </c>
      <c r="AH1092" s="4">
        <v>0</v>
      </c>
      <c r="AI1092" s="4">
        <v>6</v>
      </c>
      <c r="AJ1092" s="4">
        <v>0</v>
      </c>
      <c r="AK1092" s="4">
        <v>5</v>
      </c>
      <c r="AL1092" s="4">
        <v>2</v>
      </c>
      <c r="AM1092" s="4">
        <v>2</v>
      </c>
      <c r="AN1092" s="4">
        <v>0</v>
      </c>
      <c r="AO1092" s="4">
        <v>0</v>
      </c>
      <c r="AP1092" s="3" t="s">
        <v>61</v>
      </c>
      <c r="AQ1092" s="3" t="s">
        <v>59</v>
      </c>
      <c r="AR1092" s="6" t="str">
        <f>HYPERLINK("http://catalog.hathitrust.org/Record/000580423","HathiTrust Record")</f>
        <v>HathiTrust Record</v>
      </c>
      <c r="AS1092" s="6" t="str">
        <f>HYPERLINK("https://creighton-primo.hosted.exlibrisgroup.com/primo-explore/search?tab=default_tab&amp;search_scope=EVERYTHING&amp;vid=01CRU&amp;lang=en_US&amp;offset=0&amp;query=any,contains,991000692539702656","Catalog Record")</f>
        <v>Catalog Record</v>
      </c>
      <c r="AT1092" s="6" t="str">
        <f>HYPERLINK("http://www.worldcat.org/oclc/20800036","WorldCat Record")</f>
        <v>WorldCat Record</v>
      </c>
      <c r="AU1092" s="3" t="s">
        <v>12425</v>
      </c>
      <c r="AV1092" s="3" t="s">
        <v>12426</v>
      </c>
      <c r="AW1092" s="3" t="s">
        <v>12427</v>
      </c>
      <c r="AX1092" s="3" t="s">
        <v>12427</v>
      </c>
      <c r="AY1092" s="3" t="s">
        <v>12428</v>
      </c>
      <c r="AZ1092" s="3" t="s">
        <v>75</v>
      </c>
      <c r="BB1092" s="3" t="s">
        <v>12429</v>
      </c>
      <c r="BC1092" s="3" t="s">
        <v>12430</v>
      </c>
      <c r="BD1092" s="3" t="s">
        <v>12431</v>
      </c>
    </row>
    <row r="1093" spans="1:56" ht="44.25" customHeight="1" x14ac:dyDescent="0.25">
      <c r="A1093" s="7" t="s">
        <v>61</v>
      </c>
      <c r="B1093" s="2" t="s">
        <v>12432</v>
      </c>
      <c r="C1093" s="2" t="s">
        <v>12433</v>
      </c>
      <c r="D1093" s="2" t="s">
        <v>12434</v>
      </c>
      <c r="F1093" s="3" t="s">
        <v>61</v>
      </c>
      <c r="G1093" s="3" t="s">
        <v>60</v>
      </c>
      <c r="H1093" s="3" t="s">
        <v>61</v>
      </c>
      <c r="I1093" s="3" t="s">
        <v>61</v>
      </c>
      <c r="J1093" s="3" t="s">
        <v>62</v>
      </c>
      <c r="K1093" s="2" t="s">
        <v>12435</v>
      </c>
      <c r="L1093" s="2" t="s">
        <v>12436</v>
      </c>
      <c r="M1093" s="3" t="s">
        <v>1074</v>
      </c>
      <c r="N1093" s="2" t="s">
        <v>634</v>
      </c>
      <c r="O1093" s="3" t="s">
        <v>114</v>
      </c>
      <c r="P1093" s="3" t="s">
        <v>235</v>
      </c>
      <c r="R1093" s="3" t="s">
        <v>68</v>
      </c>
      <c r="S1093" s="4">
        <v>2</v>
      </c>
      <c r="T1093" s="4">
        <v>2</v>
      </c>
      <c r="U1093" s="5" t="s">
        <v>4364</v>
      </c>
      <c r="V1093" s="5" t="s">
        <v>4364</v>
      </c>
      <c r="W1093" s="5" t="s">
        <v>4364</v>
      </c>
      <c r="X1093" s="5" t="s">
        <v>4364</v>
      </c>
      <c r="Y1093" s="4">
        <v>785</v>
      </c>
      <c r="Z1093" s="4">
        <v>750</v>
      </c>
      <c r="AA1093" s="4">
        <v>762</v>
      </c>
      <c r="AB1093" s="4">
        <v>3</v>
      </c>
      <c r="AC1093" s="4">
        <v>3</v>
      </c>
      <c r="AD1093" s="4">
        <v>7</v>
      </c>
      <c r="AE1093" s="4">
        <v>7</v>
      </c>
      <c r="AF1093" s="4">
        <v>4</v>
      </c>
      <c r="AG1093" s="4">
        <v>4</v>
      </c>
      <c r="AH1093" s="4">
        <v>2</v>
      </c>
      <c r="AI1093" s="4">
        <v>2</v>
      </c>
      <c r="AJ1093" s="4">
        <v>2</v>
      </c>
      <c r="AK1093" s="4">
        <v>2</v>
      </c>
      <c r="AL1093" s="4">
        <v>1</v>
      </c>
      <c r="AM1093" s="4">
        <v>1</v>
      </c>
      <c r="AN1093" s="4">
        <v>0</v>
      </c>
      <c r="AO1093" s="4">
        <v>0</v>
      </c>
      <c r="AP1093" s="3" t="s">
        <v>61</v>
      </c>
      <c r="AQ1093" s="3" t="s">
        <v>61</v>
      </c>
      <c r="AS1093" s="6" t="str">
        <f>HYPERLINK("https://creighton-primo.hosted.exlibrisgroup.com/primo-explore/search?tab=default_tab&amp;search_scope=EVERYTHING&amp;vid=01CRU&amp;lang=en_US&amp;offset=0&amp;query=any,contains,991003995349702656","Catalog Record")</f>
        <v>Catalog Record</v>
      </c>
      <c r="AT1093" s="6" t="str">
        <f>HYPERLINK("http://www.worldcat.org/oclc/11371588","WorldCat Record")</f>
        <v>WorldCat Record</v>
      </c>
      <c r="AU1093" s="3" t="s">
        <v>12437</v>
      </c>
      <c r="AV1093" s="3" t="s">
        <v>12438</v>
      </c>
      <c r="AW1093" s="3" t="s">
        <v>12439</v>
      </c>
      <c r="AX1093" s="3" t="s">
        <v>12439</v>
      </c>
      <c r="AY1093" s="3" t="s">
        <v>12440</v>
      </c>
      <c r="AZ1093" s="3" t="s">
        <v>75</v>
      </c>
      <c r="BB1093" s="3" t="s">
        <v>12441</v>
      </c>
      <c r="BC1093" s="3" t="s">
        <v>12442</v>
      </c>
      <c r="BD1093" s="3" t="s">
        <v>12443</v>
      </c>
    </row>
    <row r="1094" spans="1:56" ht="44.25" customHeight="1" x14ac:dyDescent="0.25">
      <c r="A1094" s="7" t="s">
        <v>61</v>
      </c>
      <c r="B1094" s="2" t="s">
        <v>12444</v>
      </c>
      <c r="C1094" s="2" t="s">
        <v>12445</v>
      </c>
      <c r="D1094" s="2" t="s">
        <v>12446</v>
      </c>
      <c r="F1094" s="3" t="s">
        <v>61</v>
      </c>
      <c r="G1094" s="3" t="s">
        <v>60</v>
      </c>
      <c r="H1094" s="3" t="s">
        <v>61</v>
      </c>
      <c r="I1094" s="3" t="s">
        <v>61</v>
      </c>
      <c r="J1094" s="3" t="s">
        <v>62</v>
      </c>
      <c r="K1094" s="2" t="s">
        <v>12447</v>
      </c>
      <c r="L1094" s="2" t="s">
        <v>12448</v>
      </c>
      <c r="M1094" s="3" t="s">
        <v>1211</v>
      </c>
      <c r="O1094" s="3" t="s">
        <v>114</v>
      </c>
      <c r="P1094" s="3" t="s">
        <v>115</v>
      </c>
      <c r="R1094" s="3" t="s">
        <v>68</v>
      </c>
      <c r="S1094" s="4">
        <v>9</v>
      </c>
      <c r="T1094" s="4">
        <v>9</v>
      </c>
      <c r="U1094" s="5" t="s">
        <v>12449</v>
      </c>
      <c r="V1094" s="5" t="s">
        <v>12449</v>
      </c>
      <c r="W1094" s="5" t="s">
        <v>12200</v>
      </c>
      <c r="X1094" s="5" t="s">
        <v>12200</v>
      </c>
      <c r="Y1094" s="4">
        <v>961</v>
      </c>
      <c r="Z1094" s="4">
        <v>858</v>
      </c>
      <c r="AA1094" s="4">
        <v>876</v>
      </c>
      <c r="AB1094" s="4">
        <v>10</v>
      </c>
      <c r="AC1094" s="4">
        <v>10</v>
      </c>
      <c r="AD1094" s="4">
        <v>38</v>
      </c>
      <c r="AE1094" s="4">
        <v>38</v>
      </c>
      <c r="AF1094" s="4">
        <v>11</v>
      </c>
      <c r="AG1094" s="4">
        <v>11</v>
      </c>
      <c r="AH1094" s="4">
        <v>9</v>
      </c>
      <c r="AI1094" s="4">
        <v>9</v>
      </c>
      <c r="AJ1094" s="4">
        <v>19</v>
      </c>
      <c r="AK1094" s="4">
        <v>19</v>
      </c>
      <c r="AL1094" s="4">
        <v>9</v>
      </c>
      <c r="AM1094" s="4">
        <v>9</v>
      </c>
      <c r="AN1094" s="4">
        <v>0</v>
      </c>
      <c r="AO1094" s="4">
        <v>0</v>
      </c>
      <c r="AP1094" s="3" t="s">
        <v>61</v>
      </c>
      <c r="AQ1094" s="3" t="s">
        <v>61</v>
      </c>
      <c r="AS1094" s="6" t="str">
        <f>HYPERLINK("https://creighton-primo.hosted.exlibrisgroup.com/primo-explore/search?tab=default_tab&amp;search_scope=EVERYTHING&amp;vid=01CRU&amp;lang=en_US&amp;offset=0&amp;query=any,contains,991002864999702656","Catalog Record")</f>
        <v>Catalog Record</v>
      </c>
      <c r="AT1094" s="6" t="str">
        <f>HYPERLINK("http://www.worldcat.org/oclc/495253","WorldCat Record")</f>
        <v>WorldCat Record</v>
      </c>
      <c r="AU1094" s="3" t="s">
        <v>12450</v>
      </c>
      <c r="AV1094" s="3" t="s">
        <v>12451</v>
      </c>
      <c r="AW1094" s="3" t="s">
        <v>12452</v>
      </c>
      <c r="AX1094" s="3" t="s">
        <v>12452</v>
      </c>
      <c r="AY1094" s="3" t="s">
        <v>12453</v>
      </c>
      <c r="AZ1094" s="3" t="s">
        <v>75</v>
      </c>
      <c r="BB1094" s="3" t="s">
        <v>12454</v>
      </c>
      <c r="BC1094" s="3" t="s">
        <v>12455</v>
      </c>
      <c r="BD1094" s="3" t="s">
        <v>12456</v>
      </c>
    </row>
    <row r="1095" spans="1:56" ht="44.25" customHeight="1" x14ac:dyDescent="0.25">
      <c r="A1095" s="7" t="s">
        <v>61</v>
      </c>
      <c r="B1095" s="2" t="s">
        <v>12457</v>
      </c>
      <c r="C1095" s="2" t="s">
        <v>12458</v>
      </c>
      <c r="D1095" s="2" t="s">
        <v>12459</v>
      </c>
      <c r="F1095" s="3" t="s">
        <v>61</v>
      </c>
      <c r="G1095" s="3" t="s">
        <v>60</v>
      </c>
      <c r="H1095" s="3" t="s">
        <v>61</v>
      </c>
      <c r="I1095" s="3" t="s">
        <v>61</v>
      </c>
      <c r="J1095" s="3" t="s">
        <v>62</v>
      </c>
      <c r="K1095" s="2" t="s">
        <v>12460</v>
      </c>
      <c r="L1095" s="2" t="s">
        <v>12461</v>
      </c>
      <c r="M1095" s="3" t="s">
        <v>466</v>
      </c>
      <c r="O1095" s="3" t="s">
        <v>114</v>
      </c>
      <c r="P1095" s="3" t="s">
        <v>206</v>
      </c>
      <c r="R1095" s="3" t="s">
        <v>68</v>
      </c>
      <c r="S1095" s="4">
        <v>1</v>
      </c>
      <c r="T1095" s="4">
        <v>1</v>
      </c>
      <c r="U1095" s="5" t="s">
        <v>5064</v>
      </c>
      <c r="V1095" s="5" t="s">
        <v>5064</v>
      </c>
      <c r="W1095" s="5" t="s">
        <v>12462</v>
      </c>
      <c r="X1095" s="5" t="s">
        <v>12462</v>
      </c>
      <c r="Y1095" s="4">
        <v>780</v>
      </c>
      <c r="Z1095" s="4">
        <v>630</v>
      </c>
      <c r="AA1095" s="4">
        <v>646</v>
      </c>
      <c r="AB1095" s="4">
        <v>4</v>
      </c>
      <c r="AC1095" s="4">
        <v>4</v>
      </c>
      <c r="AD1095" s="4">
        <v>25</v>
      </c>
      <c r="AE1095" s="4">
        <v>26</v>
      </c>
      <c r="AF1095" s="4">
        <v>7</v>
      </c>
      <c r="AG1095" s="4">
        <v>8</v>
      </c>
      <c r="AH1095" s="4">
        <v>10</v>
      </c>
      <c r="AI1095" s="4">
        <v>10</v>
      </c>
      <c r="AJ1095" s="4">
        <v>12</v>
      </c>
      <c r="AK1095" s="4">
        <v>13</v>
      </c>
      <c r="AL1095" s="4">
        <v>3</v>
      </c>
      <c r="AM1095" s="4">
        <v>3</v>
      </c>
      <c r="AN1095" s="4">
        <v>0</v>
      </c>
      <c r="AO1095" s="4">
        <v>0</v>
      </c>
      <c r="AP1095" s="3" t="s">
        <v>61</v>
      </c>
      <c r="AQ1095" s="3" t="s">
        <v>59</v>
      </c>
      <c r="AR1095" s="6" t="str">
        <f>HYPERLINK("http://catalog.hathitrust.org/Record/000174518","HathiTrust Record")</f>
        <v>HathiTrust Record</v>
      </c>
      <c r="AS1095" s="6" t="str">
        <f>HYPERLINK("https://creighton-primo.hosted.exlibrisgroup.com/primo-explore/search?tab=default_tab&amp;search_scope=EVERYTHING&amp;vid=01CRU&amp;lang=en_US&amp;offset=0&amp;query=any,contains,991004549399702656","Catalog Record")</f>
        <v>Catalog Record</v>
      </c>
      <c r="AT1095" s="6" t="str">
        <f>HYPERLINK("http://www.worldcat.org/oclc/3931029","WorldCat Record")</f>
        <v>WorldCat Record</v>
      </c>
      <c r="AU1095" s="3" t="s">
        <v>12463</v>
      </c>
      <c r="AV1095" s="3" t="s">
        <v>12464</v>
      </c>
      <c r="AW1095" s="3" t="s">
        <v>12465</v>
      </c>
      <c r="AX1095" s="3" t="s">
        <v>12465</v>
      </c>
      <c r="AY1095" s="3" t="s">
        <v>12466</v>
      </c>
      <c r="AZ1095" s="3" t="s">
        <v>75</v>
      </c>
      <c r="BB1095" s="3" t="s">
        <v>12467</v>
      </c>
      <c r="BC1095" s="3" t="s">
        <v>12468</v>
      </c>
      <c r="BD1095" s="3" t="s">
        <v>12469</v>
      </c>
    </row>
    <row r="1096" spans="1:56" ht="44.25" customHeight="1" x14ac:dyDescent="0.25">
      <c r="A1096" s="7" t="s">
        <v>61</v>
      </c>
      <c r="B1096" s="2" t="s">
        <v>12470</v>
      </c>
      <c r="C1096" s="2" t="s">
        <v>12471</v>
      </c>
      <c r="D1096" s="2" t="s">
        <v>12472</v>
      </c>
      <c r="F1096" s="3" t="s">
        <v>61</v>
      </c>
      <c r="G1096" s="3" t="s">
        <v>60</v>
      </c>
      <c r="H1096" s="3" t="s">
        <v>61</v>
      </c>
      <c r="I1096" s="3" t="s">
        <v>61</v>
      </c>
      <c r="J1096" s="3" t="s">
        <v>62</v>
      </c>
      <c r="K1096" s="2" t="s">
        <v>12473</v>
      </c>
      <c r="L1096" s="2" t="s">
        <v>12474</v>
      </c>
      <c r="M1096" s="3" t="s">
        <v>552</v>
      </c>
      <c r="O1096" s="3" t="s">
        <v>1715</v>
      </c>
      <c r="P1096" s="3" t="s">
        <v>1716</v>
      </c>
      <c r="Q1096" s="2" t="s">
        <v>12475</v>
      </c>
      <c r="R1096" s="3" t="s">
        <v>68</v>
      </c>
      <c r="S1096" s="4">
        <v>5</v>
      </c>
      <c r="T1096" s="4">
        <v>5</v>
      </c>
      <c r="U1096" s="5" t="s">
        <v>9449</v>
      </c>
      <c r="V1096" s="5" t="s">
        <v>9449</v>
      </c>
      <c r="W1096" s="5" t="s">
        <v>12476</v>
      </c>
      <c r="X1096" s="5" t="s">
        <v>12476</v>
      </c>
      <c r="Y1096" s="4">
        <v>124</v>
      </c>
      <c r="Z1096" s="4">
        <v>47</v>
      </c>
      <c r="AA1096" s="4">
        <v>49</v>
      </c>
      <c r="AB1096" s="4">
        <v>1</v>
      </c>
      <c r="AC1096" s="4">
        <v>1</v>
      </c>
      <c r="AD1096" s="4">
        <v>1</v>
      </c>
      <c r="AE1096" s="4">
        <v>1</v>
      </c>
      <c r="AF1096" s="4">
        <v>0</v>
      </c>
      <c r="AG1096" s="4">
        <v>0</v>
      </c>
      <c r="AH1096" s="4">
        <v>1</v>
      </c>
      <c r="AI1096" s="4">
        <v>1</v>
      </c>
      <c r="AJ1096" s="4">
        <v>1</v>
      </c>
      <c r="AK1096" s="4">
        <v>1</v>
      </c>
      <c r="AL1096" s="4">
        <v>0</v>
      </c>
      <c r="AM1096" s="4">
        <v>0</v>
      </c>
      <c r="AN1096" s="4">
        <v>0</v>
      </c>
      <c r="AO1096" s="4">
        <v>0</v>
      </c>
      <c r="AP1096" s="3" t="s">
        <v>61</v>
      </c>
      <c r="AQ1096" s="3" t="s">
        <v>59</v>
      </c>
      <c r="AR1096" s="6" t="str">
        <f>HYPERLINK("http://catalog.hathitrust.org/Record/001815864","HathiTrust Record")</f>
        <v>HathiTrust Record</v>
      </c>
      <c r="AS1096" s="6" t="str">
        <f>HYPERLINK("https://creighton-primo.hosted.exlibrisgroup.com/primo-explore/search?tab=default_tab&amp;search_scope=EVERYTHING&amp;vid=01CRU&amp;lang=en_US&amp;offset=0&amp;query=any,contains,991005411379702656","Catalog Record")</f>
        <v>Catalog Record</v>
      </c>
      <c r="AT1096" s="6" t="str">
        <f>HYPERLINK("http://www.worldcat.org/oclc/20255714","WorldCat Record")</f>
        <v>WorldCat Record</v>
      </c>
      <c r="AU1096" s="3" t="s">
        <v>12477</v>
      </c>
      <c r="AV1096" s="3" t="s">
        <v>12478</v>
      </c>
      <c r="AW1096" s="3" t="s">
        <v>12479</v>
      </c>
      <c r="AX1096" s="3" t="s">
        <v>12479</v>
      </c>
      <c r="AY1096" s="3" t="s">
        <v>12480</v>
      </c>
      <c r="AZ1096" s="3" t="s">
        <v>75</v>
      </c>
      <c r="BB1096" s="3" t="s">
        <v>12481</v>
      </c>
      <c r="BC1096" s="3" t="s">
        <v>12482</v>
      </c>
      <c r="BD1096" s="3" t="s">
        <v>12483</v>
      </c>
    </row>
    <row r="1097" spans="1:56" ht="44.25" customHeight="1" x14ac:dyDescent="0.25">
      <c r="A1097" s="7" t="s">
        <v>61</v>
      </c>
      <c r="B1097" s="2" t="s">
        <v>12484</v>
      </c>
      <c r="C1097" s="2" t="s">
        <v>12485</v>
      </c>
      <c r="D1097" s="2" t="s">
        <v>12486</v>
      </c>
      <c r="F1097" s="3" t="s">
        <v>61</v>
      </c>
      <c r="G1097" s="3" t="s">
        <v>60</v>
      </c>
      <c r="H1097" s="3" t="s">
        <v>61</v>
      </c>
      <c r="I1097" s="3" t="s">
        <v>61</v>
      </c>
      <c r="J1097" s="3" t="s">
        <v>62</v>
      </c>
      <c r="K1097" s="2" t="s">
        <v>12487</v>
      </c>
      <c r="L1097" s="2" t="s">
        <v>12488</v>
      </c>
      <c r="M1097" s="3" t="s">
        <v>605</v>
      </c>
      <c r="O1097" s="3" t="s">
        <v>114</v>
      </c>
      <c r="P1097" s="3" t="s">
        <v>192</v>
      </c>
      <c r="Q1097" s="2" t="s">
        <v>12489</v>
      </c>
      <c r="R1097" s="3" t="s">
        <v>68</v>
      </c>
      <c r="S1097" s="4">
        <v>1</v>
      </c>
      <c r="T1097" s="4">
        <v>1</v>
      </c>
      <c r="U1097" s="5" t="s">
        <v>2502</v>
      </c>
      <c r="V1097" s="5" t="s">
        <v>2502</v>
      </c>
      <c r="W1097" s="5" t="s">
        <v>2502</v>
      </c>
      <c r="X1097" s="5" t="s">
        <v>2502</v>
      </c>
      <c r="Y1097" s="4">
        <v>401</v>
      </c>
      <c r="Z1097" s="4">
        <v>222</v>
      </c>
      <c r="AA1097" s="4">
        <v>249</v>
      </c>
      <c r="AB1097" s="4">
        <v>1</v>
      </c>
      <c r="AC1097" s="4">
        <v>1</v>
      </c>
      <c r="AD1097" s="4">
        <v>8</v>
      </c>
      <c r="AE1097" s="4">
        <v>8</v>
      </c>
      <c r="AF1097" s="4">
        <v>3</v>
      </c>
      <c r="AG1097" s="4">
        <v>3</v>
      </c>
      <c r="AH1097" s="4">
        <v>3</v>
      </c>
      <c r="AI1097" s="4">
        <v>3</v>
      </c>
      <c r="AJ1097" s="4">
        <v>6</v>
      </c>
      <c r="AK1097" s="4">
        <v>6</v>
      </c>
      <c r="AL1097" s="4">
        <v>0</v>
      </c>
      <c r="AM1097" s="4">
        <v>0</v>
      </c>
      <c r="AN1097" s="4">
        <v>0</v>
      </c>
      <c r="AO1097" s="4">
        <v>0</v>
      </c>
      <c r="AP1097" s="3" t="s">
        <v>61</v>
      </c>
      <c r="AQ1097" s="3" t="s">
        <v>59</v>
      </c>
      <c r="AR1097" s="6" t="str">
        <f>HYPERLINK("http://catalog.hathitrust.org/Record/002643113","HathiTrust Record")</f>
        <v>HathiTrust Record</v>
      </c>
      <c r="AS1097" s="6" t="str">
        <f>HYPERLINK("https://creighton-primo.hosted.exlibrisgroup.com/primo-explore/search?tab=default_tab&amp;search_scope=EVERYTHING&amp;vid=01CRU&amp;lang=en_US&amp;offset=0&amp;query=any,contains,991003994179702656","Catalog Record")</f>
        <v>Catalog Record</v>
      </c>
      <c r="AT1097" s="6" t="str">
        <f>HYPERLINK("http://www.worldcat.org/oclc/25130654","WorldCat Record")</f>
        <v>WorldCat Record</v>
      </c>
      <c r="AU1097" s="3" t="s">
        <v>12490</v>
      </c>
      <c r="AV1097" s="3" t="s">
        <v>12491</v>
      </c>
      <c r="AW1097" s="3" t="s">
        <v>12492</v>
      </c>
      <c r="AX1097" s="3" t="s">
        <v>12492</v>
      </c>
      <c r="AY1097" s="3" t="s">
        <v>12493</v>
      </c>
      <c r="AZ1097" s="3" t="s">
        <v>75</v>
      </c>
      <c r="BB1097" s="3" t="s">
        <v>12494</v>
      </c>
      <c r="BC1097" s="3" t="s">
        <v>12495</v>
      </c>
      <c r="BD1097" s="3" t="s">
        <v>12496</v>
      </c>
    </row>
    <row r="1098" spans="1:56" ht="44.25" customHeight="1" x14ac:dyDescent="0.25">
      <c r="A1098" s="7" t="s">
        <v>61</v>
      </c>
      <c r="B1098" s="2" t="s">
        <v>12497</v>
      </c>
      <c r="C1098" s="2" t="s">
        <v>12498</v>
      </c>
      <c r="D1098" s="2" t="s">
        <v>12499</v>
      </c>
      <c r="F1098" s="3" t="s">
        <v>61</v>
      </c>
      <c r="G1098" s="3" t="s">
        <v>60</v>
      </c>
      <c r="H1098" s="3" t="s">
        <v>61</v>
      </c>
      <c r="I1098" s="3" t="s">
        <v>61</v>
      </c>
      <c r="J1098" s="3" t="s">
        <v>62</v>
      </c>
      <c r="L1098" s="2" t="s">
        <v>12500</v>
      </c>
      <c r="M1098" s="3" t="s">
        <v>552</v>
      </c>
      <c r="O1098" s="3" t="s">
        <v>114</v>
      </c>
      <c r="P1098" s="3" t="s">
        <v>192</v>
      </c>
      <c r="R1098" s="3" t="s">
        <v>68</v>
      </c>
      <c r="S1098" s="4">
        <v>6</v>
      </c>
      <c r="T1098" s="4">
        <v>6</v>
      </c>
      <c r="U1098" s="5" t="s">
        <v>9449</v>
      </c>
      <c r="V1098" s="5" t="s">
        <v>9449</v>
      </c>
      <c r="W1098" s="5" t="s">
        <v>11251</v>
      </c>
      <c r="X1098" s="5" t="s">
        <v>11251</v>
      </c>
      <c r="Y1098" s="4">
        <v>338</v>
      </c>
      <c r="Z1098" s="4">
        <v>229</v>
      </c>
      <c r="AA1098" s="4">
        <v>230</v>
      </c>
      <c r="AB1098" s="4">
        <v>3</v>
      </c>
      <c r="AC1098" s="4">
        <v>3</v>
      </c>
      <c r="AD1098" s="4">
        <v>10</v>
      </c>
      <c r="AE1098" s="4">
        <v>10</v>
      </c>
      <c r="AF1098" s="4">
        <v>2</v>
      </c>
      <c r="AG1098" s="4">
        <v>2</v>
      </c>
      <c r="AH1098" s="4">
        <v>3</v>
      </c>
      <c r="AI1098" s="4">
        <v>3</v>
      </c>
      <c r="AJ1098" s="4">
        <v>6</v>
      </c>
      <c r="AK1098" s="4">
        <v>6</v>
      </c>
      <c r="AL1098" s="4">
        <v>2</v>
      </c>
      <c r="AM1098" s="4">
        <v>2</v>
      </c>
      <c r="AN1098" s="4">
        <v>0</v>
      </c>
      <c r="AO1098" s="4">
        <v>0</v>
      </c>
      <c r="AP1098" s="3" t="s">
        <v>61</v>
      </c>
      <c r="AQ1098" s="3" t="s">
        <v>59</v>
      </c>
      <c r="AR1098" s="6" t="str">
        <f>HYPERLINK("http://catalog.hathitrust.org/Record/001548160","HathiTrust Record")</f>
        <v>HathiTrust Record</v>
      </c>
      <c r="AS1098" s="6" t="str">
        <f>HYPERLINK("https://creighton-primo.hosted.exlibrisgroup.com/primo-explore/search?tab=default_tab&amp;search_scope=EVERYTHING&amp;vid=01CRU&amp;lang=en_US&amp;offset=0&amp;query=any,contains,991005409679702656","Catalog Record")</f>
        <v>Catalog Record</v>
      </c>
      <c r="AT1098" s="6" t="str">
        <f>HYPERLINK("http://www.worldcat.org/oclc/18351585","WorldCat Record")</f>
        <v>WorldCat Record</v>
      </c>
      <c r="AU1098" s="3" t="s">
        <v>12501</v>
      </c>
      <c r="AV1098" s="3" t="s">
        <v>12502</v>
      </c>
      <c r="AW1098" s="3" t="s">
        <v>12503</v>
      </c>
      <c r="AX1098" s="3" t="s">
        <v>12503</v>
      </c>
      <c r="AY1098" s="3" t="s">
        <v>12504</v>
      </c>
      <c r="AZ1098" s="3" t="s">
        <v>75</v>
      </c>
      <c r="BB1098" s="3" t="s">
        <v>12505</v>
      </c>
      <c r="BC1098" s="3" t="s">
        <v>12506</v>
      </c>
      <c r="BD1098" s="3" t="s">
        <v>12507</v>
      </c>
    </row>
    <row r="1099" spans="1:56" ht="44.25" customHeight="1" x14ac:dyDescent="0.25">
      <c r="A1099" s="7" t="s">
        <v>61</v>
      </c>
      <c r="B1099" s="2" t="s">
        <v>12508</v>
      </c>
      <c r="C1099" s="2" t="s">
        <v>12509</v>
      </c>
      <c r="D1099" s="2" t="s">
        <v>12510</v>
      </c>
      <c r="F1099" s="3" t="s">
        <v>61</v>
      </c>
      <c r="G1099" s="3" t="s">
        <v>60</v>
      </c>
      <c r="H1099" s="3" t="s">
        <v>61</v>
      </c>
      <c r="I1099" s="3" t="s">
        <v>61</v>
      </c>
      <c r="J1099" s="3" t="s">
        <v>62</v>
      </c>
      <c r="L1099" s="2" t="s">
        <v>12511</v>
      </c>
      <c r="M1099" s="3" t="s">
        <v>1074</v>
      </c>
      <c r="O1099" s="3" t="s">
        <v>114</v>
      </c>
      <c r="P1099" s="3" t="s">
        <v>1114</v>
      </c>
      <c r="R1099" s="3" t="s">
        <v>68</v>
      </c>
      <c r="S1099" s="4">
        <v>1</v>
      </c>
      <c r="T1099" s="4">
        <v>1</v>
      </c>
      <c r="U1099" s="5" t="s">
        <v>9936</v>
      </c>
      <c r="V1099" s="5" t="s">
        <v>9936</v>
      </c>
      <c r="W1099" s="5" t="s">
        <v>12512</v>
      </c>
      <c r="X1099" s="5" t="s">
        <v>12512</v>
      </c>
      <c r="Y1099" s="4">
        <v>859</v>
      </c>
      <c r="Z1099" s="4">
        <v>720</v>
      </c>
      <c r="AA1099" s="4">
        <v>726</v>
      </c>
      <c r="AB1099" s="4">
        <v>8</v>
      </c>
      <c r="AC1099" s="4">
        <v>8</v>
      </c>
      <c r="AD1099" s="4">
        <v>40</v>
      </c>
      <c r="AE1099" s="4">
        <v>40</v>
      </c>
      <c r="AF1099" s="4">
        <v>18</v>
      </c>
      <c r="AG1099" s="4">
        <v>18</v>
      </c>
      <c r="AH1099" s="4">
        <v>8</v>
      </c>
      <c r="AI1099" s="4">
        <v>8</v>
      </c>
      <c r="AJ1099" s="4">
        <v>18</v>
      </c>
      <c r="AK1099" s="4">
        <v>18</v>
      </c>
      <c r="AL1099" s="4">
        <v>7</v>
      </c>
      <c r="AM1099" s="4">
        <v>7</v>
      </c>
      <c r="AN1099" s="4">
        <v>0</v>
      </c>
      <c r="AO1099" s="4">
        <v>0</v>
      </c>
      <c r="AP1099" s="3" t="s">
        <v>61</v>
      </c>
      <c r="AQ1099" s="3" t="s">
        <v>59</v>
      </c>
      <c r="AR1099" s="6" t="str">
        <f>HYPERLINK("http://catalog.hathitrust.org/Record/000651718","HathiTrust Record")</f>
        <v>HathiTrust Record</v>
      </c>
      <c r="AS1099" s="6" t="str">
        <f>HYPERLINK("https://creighton-primo.hosted.exlibrisgroup.com/primo-explore/search?tab=default_tab&amp;search_scope=EVERYTHING&amp;vid=01CRU&amp;lang=en_US&amp;offset=0&amp;query=any,contains,991000487949702656","Catalog Record")</f>
        <v>Catalog Record</v>
      </c>
      <c r="AT1099" s="6" t="str">
        <f>HYPERLINK("http://www.worldcat.org/oclc/11090141","WorldCat Record")</f>
        <v>WorldCat Record</v>
      </c>
      <c r="AU1099" s="3" t="s">
        <v>12513</v>
      </c>
      <c r="AV1099" s="3" t="s">
        <v>12514</v>
      </c>
      <c r="AW1099" s="3" t="s">
        <v>12515</v>
      </c>
      <c r="AX1099" s="3" t="s">
        <v>12515</v>
      </c>
      <c r="AY1099" s="3" t="s">
        <v>12516</v>
      </c>
      <c r="AZ1099" s="3" t="s">
        <v>75</v>
      </c>
      <c r="BB1099" s="3" t="s">
        <v>12517</v>
      </c>
      <c r="BC1099" s="3" t="s">
        <v>12518</v>
      </c>
      <c r="BD1099" s="3" t="s">
        <v>12519</v>
      </c>
    </row>
    <row r="1100" spans="1:56" ht="44.25" customHeight="1" x14ac:dyDescent="0.25">
      <c r="A1100" s="7" t="s">
        <v>61</v>
      </c>
      <c r="B1100" s="2" t="s">
        <v>12520</v>
      </c>
      <c r="C1100" s="2" t="s">
        <v>12521</v>
      </c>
      <c r="D1100" s="2" t="s">
        <v>12522</v>
      </c>
      <c r="F1100" s="3" t="s">
        <v>61</v>
      </c>
      <c r="G1100" s="3" t="s">
        <v>60</v>
      </c>
      <c r="H1100" s="3" t="s">
        <v>61</v>
      </c>
      <c r="I1100" s="3" t="s">
        <v>61</v>
      </c>
      <c r="J1100" s="3" t="s">
        <v>62</v>
      </c>
      <c r="K1100" s="2" t="s">
        <v>12523</v>
      </c>
      <c r="L1100" s="2" t="s">
        <v>12524</v>
      </c>
      <c r="M1100" s="3" t="s">
        <v>2323</v>
      </c>
      <c r="N1100" s="2" t="s">
        <v>634</v>
      </c>
      <c r="O1100" s="3" t="s">
        <v>114</v>
      </c>
      <c r="P1100" s="3" t="s">
        <v>235</v>
      </c>
      <c r="R1100" s="3" t="s">
        <v>68</v>
      </c>
      <c r="S1100" s="4">
        <v>1</v>
      </c>
      <c r="T1100" s="4">
        <v>1</v>
      </c>
      <c r="U1100" s="5" t="s">
        <v>8564</v>
      </c>
      <c r="V1100" s="5" t="s">
        <v>8564</v>
      </c>
      <c r="W1100" s="5" t="s">
        <v>8564</v>
      </c>
      <c r="X1100" s="5" t="s">
        <v>8564</v>
      </c>
      <c r="Y1100" s="4">
        <v>456</v>
      </c>
      <c r="Z1100" s="4">
        <v>440</v>
      </c>
      <c r="AA1100" s="4">
        <v>462</v>
      </c>
      <c r="AB1100" s="4">
        <v>5</v>
      </c>
      <c r="AC1100" s="4">
        <v>5</v>
      </c>
      <c r="AD1100" s="4">
        <v>14</v>
      </c>
      <c r="AE1100" s="4">
        <v>15</v>
      </c>
      <c r="AF1100" s="4">
        <v>4</v>
      </c>
      <c r="AG1100" s="4">
        <v>4</v>
      </c>
      <c r="AH1100" s="4">
        <v>2</v>
      </c>
      <c r="AI1100" s="4">
        <v>3</v>
      </c>
      <c r="AJ1100" s="4">
        <v>8</v>
      </c>
      <c r="AK1100" s="4">
        <v>9</v>
      </c>
      <c r="AL1100" s="4">
        <v>3</v>
      </c>
      <c r="AM1100" s="4">
        <v>3</v>
      </c>
      <c r="AN1100" s="4">
        <v>0</v>
      </c>
      <c r="AO1100" s="4">
        <v>0</v>
      </c>
      <c r="AP1100" s="3" t="s">
        <v>61</v>
      </c>
      <c r="AQ1100" s="3" t="s">
        <v>61</v>
      </c>
      <c r="AS1100" s="6" t="str">
        <f>HYPERLINK("https://creighton-primo.hosted.exlibrisgroup.com/primo-explore/search?tab=default_tab&amp;search_scope=EVERYTHING&amp;vid=01CRU&amp;lang=en_US&amp;offset=0&amp;query=any,contains,991004305699702656","Catalog Record")</f>
        <v>Catalog Record</v>
      </c>
      <c r="AT1100" s="6" t="str">
        <f>HYPERLINK("http://www.worldcat.org/oclc/53840221","WorldCat Record")</f>
        <v>WorldCat Record</v>
      </c>
      <c r="AU1100" s="3" t="s">
        <v>12525</v>
      </c>
      <c r="AV1100" s="3" t="s">
        <v>12526</v>
      </c>
      <c r="AW1100" s="3" t="s">
        <v>12527</v>
      </c>
      <c r="AX1100" s="3" t="s">
        <v>12527</v>
      </c>
      <c r="AY1100" s="3" t="s">
        <v>12528</v>
      </c>
      <c r="AZ1100" s="3" t="s">
        <v>75</v>
      </c>
      <c r="BB1100" s="3" t="s">
        <v>12529</v>
      </c>
      <c r="BC1100" s="3" t="s">
        <v>12530</v>
      </c>
      <c r="BD1100" s="3" t="s">
        <v>12531</v>
      </c>
    </row>
    <row r="1101" spans="1:56" ht="44.25" customHeight="1" x14ac:dyDescent="0.25">
      <c r="A1101" s="7" t="s">
        <v>61</v>
      </c>
      <c r="B1101" s="2" t="s">
        <v>12532</v>
      </c>
      <c r="C1101" s="2" t="s">
        <v>12533</v>
      </c>
      <c r="D1101" s="2" t="s">
        <v>12534</v>
      </c>
      <c r="F1101" s="3" t="s">
        <v>61</v>
      </c>
      <c r="G1101" s="3" t="s">
        <v>60</v>
      </c>
      <c r="H1101" s="3" t="s">
        <v>61</v>
      </c>
      <c r="I1101" s="3" t="s">
        <v>61</v>
      </c>
      <c r="J1101" s="3" t="s">
        <v>62</v>
      </c>
      <c r="L1101" s="2" t="s">
        <v>12535</v>
      </c>
      <c r="M1101" s="3" t="s">
        <v>422</v>
      </c>
      <c r="O1101" s="3" t="s">
        <v>114</v>
      </c>
      <c r="P1101" s="3" t="s">
        <v>192</v>
      </c>
      <c r="Q1101" s="2" t="s">
        <v>1277</v>
      </c>
      <c r="R1101" s="3" t="s">
        <v>68</v>
      </c>
      <c r="S1101" s="4">
        <v>5</v>
      </c>
      <c r="T1101" s="4">
        <v>5</v>
      </c>
      <c r="U1101" s="5" t="s">
        <v>12536</v>
      </c>
      <c r="V1101" s="5" t="s">
        <v>12536</v>
      </c>
      <c r="W1101" s="5" t="s">
        <v>12537</v>
      </c>
      <c r="X1101" s="5" t="s">
        <v>12537</v>
      </c>
      <c r="Y1101" s="4">
        <v>718</v>
      </c>
      <c r="Z1101" s="4">
        <v>556</v>
      </c>
      <c r="AA1101" s="4">
        <v>566</v>
      </c>
      <c r="AB1101" s="4">
        <v>4</v>
      </c>
      <c r="AC1101" s="4">
        <v>4</v>
      </c>
      <c r="AD1101" s="4">
        <v>32</v>
      </c>
      <c r="AE1101" s="4">
        <v>32</v>
      </c>
      <c r="AF1101" s="4">
        <v>13</v>
      </c>
      <c r="AG1101" s="4">
        <v>13</v>
      </c>
      <c r="AH1101" s="4">
        <v>8</v>
      </c>
      <c r="AI1101" s="4">
        <v>8</v>
      </c>
      <c r="AJ1101" s="4">
        <v>15</v>
      </c>
      <c r="AK1101" s="4">
        <v>15</v>
      </c>
      <c r="AL1101" s="4">
        <v>3</v>
      </c>
      <c r="AM1101" s="4">
        <v>3</v>
      </c>
      <c r="AN1101" s="4">
        <v>1</v>
      </c>
      <c r="AO1101" s="4">
        <v>1</v>
      </c>
      <c r="AP1101" s="3" t="s">
        <v>61</v>
      </c>
      <c r="AQ1101" s="3" t="s">
        <v>61</v>
      </c>
      <c r="AS1101" s="6" t="str">
        <f>HYPERLINK("https://creighton-primo.hosted.exlibrisgroup.com/primo-explore/search?tab=default_tab&amp;search_scope=EVERYTHING&amp;vid=01CRU&amp;lang=en_US&amp;offset=0&amp;query=any,contains,991002939549702656","Catalog Record")</f>
        <v>Catalog Record</v>
      </c>
      <c r="AT1101" s="6" t="str">
        <f>HYPERLINK("http://www.worldcat.org/oclc/39108700","WorldCat Record")</f>
        <v>WorldCat Record</v>
      </c>
      <c r="AU1101" s="3" t="s">
        <v>12538</v>
      </c>
      <c r="AV1101" s="3" t="s">
        <v>12539</v>
      </c>
      <c r="AW1101" s="3" t="s">
        <v>12540</v>
      </c>
      <c r="AX1101" s="3" t="s">
        <v>12540</v>
      </c>
      <c r="AY1101" s="3" t="s">
        <v>12541</v>
      </c>
      <c r="AZ1101" s="3" t="s">
        <v>75</v>
      </c>
      <c r="BB1101" s="3" t="s">
        <v>12542</v>
      </c>
      <c r="BC1101" s="3" t="s">
        <v>12543</v>
      </c>
      <c r="BD1101" s="3" t="s">
        <v>12544</v>
      </c>
    </row>
    <row r="1102" spans="1:56" ht="44.25" customHeight="1" x14ac:dyDescent="0.25">
      <c r="A1102" s="7" t="s">
        <v>61</v>
      </c>
      <c r="B1102" s="2" t="s">
        <v>12545</v>
      </c>
      <c r="C1102" s="2" t="s">
        <v>12546</v>
      </c>
      <c r="D1102" s="2" t="s">
        <v>12547</v>
      </c>
      <c r="F1102" s="3" t="s">
        <v>61</v>
      </c>
      <c r="G1102" s="3" t="s">
        <v>60</v>
      </c>
      <c r="H1102" s="3" t="s">
        <v>61</v>
      </c>
      <c r="I1102" s="3" t="s">
        <v>61</v>
      </c>
      <c r="J1102" s="3" t="s">
        <v>62</v>
      </c>
      <c r="L1102" s="2" t="s">
        <v>12548</v>
      </c>
      <c r="M1102" s="3" t="s">
        <v>1465</v>
      </c>
      <c r="O1102" s="3" t="s">
        <v>114</v>
      </c>
      <c r="P1102" s="3" t="s">
        <v>619</v>
      </c>
      <c r="R1102" s="3" t="s">
        <v>68</v>
      </c>
      <c r="S1102" s="4">
        <v>5</v>
      </c>
      <c r="T1102" s="4">
        <v>5</v>
      </c>
      <c r="U1102" s="5" t="s">
        <v>12345</v>
      </c>
      <c r="V1102" s="5" t="s">
        <v>12345</v>
      </c>
      <c r="W1102" s="5" t="s">
        <v>12549</v>
      </c>
      <c r="X1102" s="5" t="s">
        <v>12549</v>
      </c>
      <c r="Y1102" s="4">
        <v>429</v>
      </c>
      <c r="Z1102" s="4">
        <v>387</v>
      </c>
      <c r="AA1102" s="4">
        <v>433</v>
      </c>
      <c r="AB1102" s="4">
        <v>3</v>
      </c>
      <c r="AC1102" s="4">
        <v>3</v>
      </c>
      <c r="AD1102" s="4">
        <v>23</v>
      </c>
      <c r="AE1102" s="4">
        <v>27</v>
      </c>
      <c r="AF1102" s="4">
        <v>8</v>
      </c>
      <c r="AG1102" s="4">
        <v>8</v>
      </c>
      <c r="AH1102" s="4">
        <v>6</v>
      </c>
      <c r="AI1102" s="4">
        <v>6</v>
      </c>
      <c r="AJ1102" s="4">
        <v>11</v>
      </c>
      <c r="AK1102" s="4">
        <v>11</v>
      </c>
      <c r="AL1102" s="4">
        <v>2</v>
      </c>
      <c r="AM1102" s="4">
        <v>2</v>
      </c>
      <c r="AN1102" s="4">
        <v>2</v>
      </c>
      <c r="AO1102" s="4">
        <v>6</v>
      </c>
      <c r="AP1102" s="3" t="s">
        <v>59</v>
      </c>
      <c r="AQ1102" s="3" t="s">
        <v>61</v>
      </c>
      <c r="AR1102" s="6" t="str">
        <f>HYPERLINK("http://catalog.hathitrust.org/Record/002530189","HathiTrust Record")</f>
        <v>HathiTrust Record</v>
      </c>
      <c r="AS1102" s="6" t="str">
        <f>HYPERLINK("https://creighton-primo.hosted.exlibrisgroup.com/primo-explore/search?tab=default_tab&amp;search_scope=EVERYTHING&amp;vid=01CRU&amp;lang=en_US&amp;offset=0&amp;query=any,contains,991001826279702656","Catalog Record")</f>
        <v>Catalog Record</v>
      </c>
      <c r="AT1102" s="6" t="str">
        <f>HYPERLINK("http://www.worldcat.org/oclc/22951782","WorldCat Record")</f>
        <v>WorldCat Record</v>
      </c>
      <c r="AU1102" s="3" t="s">
        <v>12550</v>
      </c>
      <c r="AV1102" s="3" t="s">
        <v>12551</v>
      </c>
      <c r="AW1102" s="3" t="s">
        <v>12552</v>
      </c>
      <c r="AX1102" s="3" t="s">
        <v>12552</v>
      </c>
      <c r="AY1102" s="3" t="s">
        <v>12553</v>
      </c>
      <c r="AZ1102" s="3" t="s">
        <v>75</v>
      </c>
      <c r="BB1102" s="3" t="s">
        <v>12554</v>
      </c>
      <c r="BC1102" s="3" t="s">
        <v>12555</v>
      </c>
      <c r="BD1102" s="3" t="s">
        <v>12556</v>
      </c>
    </row>
    <row r="1103" spans="1:56" ht="44.25" customHeight="1" x14ac:dyDescent="0.25">
      <c r="A1103" s="7" t="s">
        <v>61</v>
      </c>
      <c r="B1103" s="2" t="s">
        <v>12557</v>
      </c>
      <c r="C1103" s="2" t="s">
        <v>12558</v>
      </c>
      <c r="D1103" s="2" t="s">
        <v>12559</v>
      </c>
      <c r="F1103" s="3" t="s">
        <v>61</v>
      </c>
      <c r="G1103" s="3" t="s">
        <v>60</v>
      </c>
      <c r="H1103" s="3" t="s">
        <v>61</v>
      </c>
      <c r="I1103" s="3" t="s">
        <v>61</v>
      </c>
      <c r="J1103" s="3" t="s">
        <v>62</v>
      </c>
      <c r="K1103" s="2" t="s">
        <v>12560</v>
      </c>
      <c r="L1103" s="2" t="s">
        <v>12561</v>
      </c>
      <c r="M1103" s="3" t="s">
        <v>1319</v>
      </c>
      <c r="N1103" s="2" t="s">
        <v>4324</v>
      </c>
      <c r="O1103" s="3" t="s">
        <v>114</v>
      </c>
      <c r="P1103" s="3" t="s">
        <v>235</v>
      </c>
      <c r="R1103" s="3" t="s">
        <v>68</v>
      </c>
      <c r="S1103" s="4">
        <v>7</v>
      </c>
      <c r="T1103" s="4">
        <v>7</v>
      </c>
      <c r="U1103" s="5" t="s">
        <v>12562</v>
      </c>
      <c r="V1103" s="5" t="s">
        <v>12562</v>
      </c>
      <c r="W1103" s="5" t="s">
        <v>265</v>
      </c>
      <c r="X1103" s="5" t="s">
        <v>265</v>
      </c>
      <c r="Y1103" s="4">
        <v>2424</v>
      </c>
      <c r="Z1103" s="4">
        <v>2337</v>
      </c>
      <c r="AA1103" s="4">
        <v>2881</v>
      </c>
      <c r="AB1103" s="4">
        <v>24</v>
      </c>
      <c r="AC1103" s="4">
        <v>33</v>
      </c>
      <c r="AD1103" s="4">
        <v>56</v>
      </c>
      <c r="AE1103" s="4">
        <v>66</v>
      </c>
      <c r="AF1103" s="4">
        <v>21</v>
      </c>
      <c r="AG1103" s="4">
        <v>26</v>
      </c>
      <c r="AH1103" s="4">
        <v>7</v>
      </c>
      <c r="AI1103" s="4">
        <v>9</v>
      </c>
      <c r="AJ1103" s="4">
        <v>24</v>
      </c>
      <c r="AK1103" s="4">
        <v>27</v>
      </c>
      <c r="AL1103" s="4">
        <v>13</v>
      </c>
      <c r="AM1103" s="4">
        <v>13</v>
      </c>
      <c r="AN1103" s="4">
        <v>2</v>
      </c>
      <c r="AO1103" s="4">
        <v>3</v>
      </c>
      <c r="AP1103" s="3" t="s">
        <v>61</v>
      </c>
      <c r="AQ1103" s="3" t="s">
        <v>59</v>
      </c>
      <c r="AR1103" s="6" t="str">
        <f>HYPERLINK("http://catalog.hathitrust.org/Record/001112629","HathiTrust Record")</f>
        <v>HathiTrust Record</v>
      </c>
      <c r="AS1103" s="6" t="str">
        <f>HYPERLINK("https://creighton-primo.hosted.exlibrisgroup.com/primo-explore/search?tab=default_tab&amp;search_scope=EVERYTHING&amp;vid=01CRU&amp;lang=en_US&amp;offset=0&amp;query=any,contains,991002219319702656","Catalog Record")</f>
        <v>Catalog Record</v>
      </c>
      <c r="AT1103" s="6" t="str">
        <f>HYPERLINK("http://www.worldcat.org/oclc/289633","WorldCat Record")</f>
        <v>WorldCat Record</v>
      </c>
      <c r="AU1103" s="3" t="s">
        <v>12563</v>
      </c>
      <c r="AV1103" s="3" t="s">
        <v>12564</v>
      </c>
      <c r="AW1103" s="3" t="s">
        <v>12565</v>
      </c>
      <c r="AX1103" s="3" t="s">
        <v>12565</v>
      </c>
      <c r="AY1103" s="3" t="s">
        <v>12566</v>
      </c>
      <c r="AZ1103" s="3" t="s">
        <v>75</v>
      </c>
      <c r="BC1103" s="3" t="s">
        <v>12567</v>
      </c>
      <c r="BD1103" s="3" t="s">
        <v>12568</v>
      </c>
    </row>
    <row r="1104" spans="1:56" ht="44.25" customHeight="1" x14ac:dyDescent="0.25">
      <c r="A1104" s="7" t="s">
        <v>61</v>
      </c>
      <c r="B1104" s="2" t="s">
        <v>12569</v>
      </c>
      <c r="C1104" s="2" t="s">
        <v>12570</v>
      </c>
      <c r="D1104" s="2" t="s">
        <v>12571</v>
      </c>
      <c r="F1104" s="3" t="s">
        <v>61</v>
      </c>
      <c r="G1104" s="3" t="s">
        <v>60</v>
      </c>
      <c r="H1104" s="3" t="s">
        <v>61</v>
      </c>
      <c r="I1104" s="3" t="s">
        <v>61</v>
      </c>
      <c r="J1104" s="3" t="s">
        <v>62</v>
      </c>
      <c r="K1104" s="2" t="s">
        <v>12572</v>
      </c>
      <c r="L1104" s="2" t="s">
        <v>12573</v>
      </c>
      <c r="M1104" s="3" t="s">
        <v>796</v>
      </c>
      <c r="O1104" s="3" t="s">
        <v>114</v>
      </c>
      <c r="P1104" s="3" t="s">
        <v>192</v>
      </c>
      <c r="R1104" s="3" t="s">
        <v>68</v>
      </c>
      <c r="S1104" s="4">
        <v>2</v>
      </c>
      <c r="T1104" s="4">
        <v>2</v>
      </c>
      <c r="U1104" s="5" t="s">
        <v>12574</v>
      </c>
      <c r="V1104" s="5" t="s">
        <v>12574</v>
      </c>
      <c r="W1104" s="5" t="s">
        <v>11509</v>
      </c>
      <c r="X1104" s="5" t="s">
        <v>11509</v>
      </c>
      <c r="Y1104" s="4">
        <v>172</v>
      </c>
      <c r="Z1104" s="4">
        <v>81</v>
      </c>
      <c r="AA1104" s="4">
        <v>81</v>
      </c>
      <c r="AB1104" s="4">
        <v>2</v>
      </c>
      <c r="AC1104" s="4">
        <v>2</v>
      </c>
      <c r="AD1104" s="4">
        <v>4</v>
      </c>
      <c r="AE1104" s="4">
        <v>4</v>
      </c>
      <c r="AF1104" s="4">
        <v>0</v>
      </c>
      <c r="AG1104" s="4">
        <v>0</v>
      </c>
      <c r="AH1104" s="4">
        <v>2</v>
      </c>
      <c r="AI1104" s="4">
        <v>2</v>
      </c>
      <c r="AJ1104" s="4">
        <v>2</v>
      </c>
      <c r="AK1104" s="4">
        <v>2</v>
      </c>
      <c r="AL1104" s="4">
        <v>1</v>
      </c>
      <c r="AM1104" s="4">
        <v>1</v>
      </c>
      <c r="AN1104" s="4">
        <v>1</v>
      </c>
      <c r="AO1104" s="4">
        <v>1</v>
      </c>
      <c r="AP1104" s="3" t="s">
        <v>61</v>
      </c>
      <c r="AQ1104" s="3" t="s">
        <v>61</v>
      </c>
      <c r="AS1104" s="6" t="str">
        <f>HYPERLINK("https://creighton-primo.hosted.exlibrisgroup.com/primo-explore/search?tab=default_tab&amp;search_scope=EVERYTHING&amp;vid=01CRU&amp;lang=en_US&amp;offset=0&amp;query=any,contains,991001193039702656","Catalog Record")</f>
        <v>Catalog Record</v>
      </c>
      <c r="AT1104" s="6" t="str">
        <f>HYPERLINK("http://www.worldcat.org/oclc/59165299","WorldCat Record")</f>
        <v>WorldCat Record</v>
      </c>
      <c r="AU1104" s="3" t="s">
        <v>12575</v>
      </c>
      <c r="AV1104" s="3" t="s">
        <v>12576</v>
      </c>
      <c r="AW1104" s="3" t="s">
        <v>12577</v>
      </c>
      <c r="AX1104" s="3" t="s">
        <v>12577</v>
      </c>
      <c r="AY1104" s="3" t="s">
        <v>12578</v>
      </c>
      <c r="AZ1104" s="3" t="s">
        <v>75</v>
      </c>
      <c r="BB1104" s="3" t="s">
        <v>12579</v>
      </c>
      <c r="BC1104" s="3" t="s">
        <v>12580</v>
      </c>
      <c r="BD1104" s="3" t="s">
        <v>12581</v>
      </c>
    </row>
    <row r="1105" spans="1:56" ht="44.25" customHeight="1" x14ac:dyDescent="0.25">
      <c r="A1105" s="7" t="s">
        <v>61</v>
      </c>
      <c r="B1105" s="2" t="s">
        <v>12582</v>
      </c>
      <c r="C1105" s="2" t="s">
        <v>12583</v>
      </c>
      <c r="D1105" s="2" t="s">
        <v>12584</v>
      </c>
      <c r="F1105" s="3" t="s">
        <v>61</v>
      </c>
      <c r="G1105" s="3" t="s">
        <v>60</v>
      </c>
      <c r="H1105" s="3" t="s">
        <v>61</v>
      </c>
      <c r="I1105" s="3" t="s">
        <v>61</v>
      </c>
      <c r="J1105" s="3" t="s">
        <v>62</v>
      </c>
      <c r="K1105" s="2" t="s">
        <v>12585</v>
      </c>
      <c r="L1105" s="2" t="s">
        <v>12586</v>
      </c>
      <c r="M1105" s="3" t="s">
        <v>2391</v>
      </c>
      <c r="O1105" s="3" t="s">
        <v>114</v>
      </c>
      <c r="P1105" s="3" t="s">
        <v>1114</v>
      </c>
      <c r="R1105" s="3" t="s">
        <v>68</v>
      </c>
      <c r="S1105" s="4">
        <v>4</v>
      </c>
      <c r="T1105" s="4">
        <v>4</v>
      </c>
      <c r="U1105" s="5" t="s">
        <v>12587</v>
      </c>
      <c r="V1105" s="5" t="s">
        <v>12587</v>
      </c>
      <c r="W1105" s="5" t="s">
        <v>12588</v>
      </c>
      <c r="X1105" s="5" t="s">
        <v>12588</v>
      </c>
      <c r="Y1105" s="4">
        <v>508</v>
      </c>
      <c r="Z1105" s="4">
        <v>402</v>
      </c>
      <c r="AA1105" s="4">
        <v>583</v>
      </c>
      <c r="AB1105" s="4">
        <v>4</v>
      </c>
      <c r="AC1105" s="4">
        <v>4</v>
      </c>
      <c r="AD1105" s="4">
        <v>23</v>
      </c>
      <c r="AE1105" s="4">
        <v>31</v>
      </c>
      <c r="AF1105" s="4">
        <v>9</v>
      </c>
      <c r="AG1105" s="4">
        <v>14</v>
      </c>
      <c r="AH1105" s="4">
        <v>6</v>
      </c>
      <c r="AI1105" s="4">
        <v>8</v>
      </c>
      <c r="AJ1105" s="4">
        <v>11</v>
      </c>
      <c r="AK1105" s="4">
        <v>16</v>
      </c>
      <c r="AL1105" s="4">
        <v>3</v>
      </c>
      <c r="AM1105" s="4">
        <v>3</v>
      </c>
      <c r="AN1105" s="4">
        <v>0</v>
      </c>
      <c r="AO1105" s="4">
        <v>0</v>
      </c>
      <c r="AP1105" s="3" t="s">
        <v>61</v>
      </c>
      <c r="AQ1105" s="3" t="s">
        <v>61</v>
      </c>
      <c r="AS1105" s="6" t="str">
        <f>HYPERLINK("https://creighton-primo.hosted.exlibrisgroup.com/primo-explore/search?tab=default_tab&amp;search_scope=EVERYTHING&amp;vid=01CRU&amp;lang=en_US&amp;offset=0&amp;query=any,contains,991003736979702656","Catalog Record")</f>
        <v>Catalog Record</v>
      </c>
      <c r="AT1105" s="6" t="str">
        <f>HYPERLINK("http://www.worldcat.org/oclc/46997962","WorldCat Record")</f>
        <v>WorldCat Record</v>
      </c>
      <c r="AU1105" s="3" t="s">
        <v>12589</v>
      </c>
      <c r="AV1105" s="3" t="s">
        <v>12590</v>
      </c>
      <c r="AW1105" s="3" t="s">
        <v>12591</v>
      </c>
      <c r="AX1105" s="3" t="s">
        <v>12591</v>
      </c>
      <c r="AY1105" s="3" t="s">
        <v>12592</v>
      </c>
      <c r="AZ1105" s="3" t="s">
        <v>75</v>
      </c>
      <c r="BB1105" s="3" t="s">
        <v>12593</v>
      </c>
      <c r="BC1105" s="3" t="s">
        <v>12594</v>
      </c>
      <c r="BD1105" s="3" t="s">
        <v>12595</v>
      </c>
    </row>
    <row r="1106" spans="1:56" ht="44.25" customHeight="1" x14ac:dyDescent="0.25">
      <c r="A1106" s="7" t="s">
        <v>61</v>
      </c>
      <c r="B1106" s="2" t="s">
        <v>12596</v>
      </c>
      <c r="C1106" s="2" t="s">
        <v>12597</v>
      </c>
      <c r="D1106" s="2" t="s">
        <v>12598</v>
      </c>
      <c r="F1106" s="3" t="s">
        <v>61</v>
      </c>
      <c r="G1106" s="3" t="s">
        <v>60</v>
      </c>
      <c r="H1106" s="3" t="s">
        <v>61</v>
      </c>
      <c r="I1106" s="3" t="s">
        <v>61</v>
      </c>
      <c r="J1106" s="3" t="s">
        <v>62</v>
      </c>
      <c r="L1106" s="2" t="s">
        <v>11616</v>
      </c>
      <c r="M1106" s="3" t="s">
        <v>605</v>
      </c>
      <c r="O1106" s="3" t="s">
        <v>114</v>
      </c>
      <c r="P1106" s="3" t="s">
        <v>235</v>
      </c>
      <c r="R1106" s="3" t="s">
        <v>68</v>
      </c>
      <c r="S1106" s="4">
        <v>4</v>
      </c>
      <c r="T1106" s="4">
        <v>4</v>
      </c>
      <c r="U1106" s="5" t="s">
        <v>12599</v>
      </c>
      <c r="V1106" s="5" t="s">
        <v>12599</v>
      </c>
      <c r="W1106" s="5" t="s">
        <v>12600</v>
      </c>
      <c r="X1106" s="5" t="s">
        <v>12600</v>
      </c>
      <c r="Y1106" s="4">
        <v>381</v>
      </c>
      <c r="Z1106" s="4">
        <v>290</v>
      </c>
      <c r="AA1106" s="4">
        <v>294</v>
      </c>
      <c r="AB1106" s="4">
        <v>3</v>
      </c>
      <c r="AC1106" s="4">
        <v>3</v>
      </c>
      <c r="AD1106" s="4">
        <v>16</v>
      </c>
      <c r="AE1106" s="4">
        <v>17</v>
      </c>
      <c r="AF1106" s="4">
        <v>2</v>
      </c>
      <c r="AG1106" s="4">
        <v>2</v>
      </c>
      <c r="AH1106" s="4">
        <v>7</v>
      </c>
      <c r="AI1106" s="4">
        <v>7</v>
      </c>
      <c r="AJ1106" s="4">
        <v>10</v>
      </c>
      <c r="AK1106" s="4">
        <v>11</v>
      </c>
      <c r="AL1106" s="4">
        <v>2</v>
      </c>
      <c r="AM1106" s="4">
        <v>2</v>
      </c>
      <c r="AN1106" s="4">
        <v>0</v>
      </c>
      <c r="AO1106" s="4">
        <v>0</v>
      </c>
      <c r="AP1106" s="3" t="s">
        <v>61</v>
      </c>
      <c r="AQ1106" s="3" t="s">
        <v>61</v>
      </c>
      <c r="AS1106" s="6" t="str">
        <f>HYPERLINK("https://creighton-primo.hosted.exlibrisgroup.com/primo-explore/search?tab=default_tab&amp;search_scope=EVERYTHING&amp;vid=01CRU&amp;lang=en_US&amp;offset=0&amp;query=any,contains,991001984229702656","Catalog Record")</f>
        <v>Catalog Record</v>
      </c>
      <c r="AT1106" s="6" t="str">
        <f>HYPERLINK("http://www.worldcat.org/oclc/25200408","WorldCat Record")</f>
        <v>WorldCat Record</v>
      </c>
      <c r="AU1106" s="3" t="s">
        <v>12601</v>
      </c>
      <c r="AV1106" s="3" t="s">
        <v>12602</v>
      </c>
      <c r="AW1106" s="3" t="s">
        <v>12603</v>
      </c>
      <c r="AX1106" s="3" t="s">
        <v>12603</v>
      </c>
      <c r="AY1106" s="3" t="s">
        <v>12604</v>
      </c>
      <c r="AZ1106" s="3" t="s">
        <v>75</v>
      </c>
      <c r="BC1106" s="3" t="s">
        <v>12605</v>
      </c>
      <c r="BD1106" s="3" t="s">
        <v>12606</v>
      </c>
    </row>
    <row r="1107" spans="1:56" ht="44.25" customHeight="1" x14ac:dyDescent="0.25">
      <c r="A1107" s="7" t="s">
        <v>61</v>
      </c>
      <c r="B1107" s="2" t="s">
        <v>12607</v>
      </c>
      <c r="C1107" s="2" t="s">
        <v>12608</v>
      </c>
      <c r="D1107" s="2" t="s">
        <v>12609</v>
      </c>
      <c r="F1107" s="3" t="s">
        <v>61</v>
      </c>
      <c r="G1107" s="3" t="s">
        <v>60</v>
      </c>
      <c r="H1107" s="3" t="s">
        <v>61</v>
      </c>
      <c r="I1107" s="3" t="s">
        <v>61</v>
      </c>
      <c r="J1107" s="3" t="s">
        <v>62</v>
      </c>
      <c r="K1107" s="2" t="s">
        <v>12610</v>
      </c>
      <c r="L1107" s="2" t="s">
        <v>12611</v>
      </c>
      <c r="M1107" s="3" t="s">
        <v>1465</v>
      </c>
      <c r="O1107" s="3" t="s">
        <v>114</v>
      </c>
      <c r="P1107" s="3" t="s">
        <v>335</v>
      </c>
      <c r="R1107" s="3" t="s">
        <v>68</v>
      </c>
      <c r="S1107" s="4">
        <v>4</v>
      </c>
      <c r="T1107" s="4">
        <v>4</v>
      </c>
      <c r="U1107" s="5" t="s">
        <v>12612</v>
      </c>
      <c r="V1107" s="5" t="s">
        <v>12612</v>
      </c>
      <c r="W1107" s="5" t="s">
        <v>12613</v>
      </c>
      <c r="X1107" s="5" t="s">
        <v>12613</v>
      </c>
      <c r="Y1107" s="4">
        <v>301</v>
      </c>
      <c r="Z1107" s="4">
        <v>235</v>
      </c>
      <c r="AA1107" s="4">
        <v>292</v>
      </c>
      <c r="AB1107" s="4">
        <v>2</v>
      </c>
      <c r="AC1107" s="4">
        <v>2</v>
      </c>
      <c r="AD1107" s="4">
        <v>15</v>
      </c>
      <c r="AE1107" s="4">
        <v>16</v>
      </c>
      <c r="AF1107" s="4">
        <v>5</v>
      </c>
      <c r="AG1107" s="4">
        <v>5</v>
      </c>
      <c r="AH1107" s="4">
        <v>3</v>
      </c>
      <c r="AI1107" s="4">
        <v>4</v>
      </c>
      <c r="AJ1107" s="4">
        <v>11</v>
      </c>
      <c r="AK1107" s="4">
        <v>11</v>
      </c>
      <c r="AL1107" s="4">
        <v>1</v>
      </c>
      <c r="AM1107" s="4">
        <v>1</v>
      </c>
      <c r="AN1107" s="4">
        <v>0</v>
      </c>
      <c r="AO1107" s="4">
        <v>0</v>
      </c>
      <c r="AP1107" s="3" t="s">
        <v>61</v>
      </c>
      <c r="AQ1107" s="3" t="s">
        <v>59</v>
      </c>
      <c r="AR1107" s="6" t="str">
        <f>HYPERLINK("http://catalog.hathitrust.org/Record/002528381","HathiTrust Record")</f>
        <v>HathiTrust Record</v>
      </c>
      <c r="AS1107" s="6" t="str">
        <f>HYPERLINK("https://creighton-primo.hosted.exlibrisgroup.com/primo-explore/search?tab=default_tab&amp;search_scope=EVERYTHING&amp;vid=01CRU&amp;lang=en_US&amp;offset=0&amp;query=any,contains,991001830489702656","Catalog Record")</f>
        <v>Catalog Record</v>
      </c>
      <c r="AT1107" s="6" t="str">
        <f>HYPERLINK("http://www.worldcat.org/oclc/22985065","WorldCat Record")</f>
        <v>WorldCat Record</v>
      </c>
      <c r="AU1107" s="3" t="s">
        <v>12614</v>
      </c>
      <c r="AV1107" s="3" t="s">
        <v>12615</v>
      </c>
      <c r="AW1107" s="3" t="s">
        <v>12616</v>
      </c>
      <c r="AX1107" s="3" t="s">
        <v>12616</v>
      </c>
      <c r="AY1107" s="3" t="s">
        <v>12617</v>
      </c>
      <c r="AZ1107" s="3" t="s">
        <v>75</v>
      </c>
      <c r="BB1107" s="3" t="s">
        <v>12618</v>
      </c>
      <c r="BC1107" s="3" t="s">
        <v>12619</v>
      </c>
      <c r="BD1107" s="3" t="s">
        <v>12620</v>
      </c>
    </row>
    <row r="1108" spans="1:56" ht="44.25" customHeight="1" x14ac:dyDescent="0.25">
      <c r="A1108" s="7" t="s">
        <v>61</v>
      </c>
      <c r="B1108" s="2" t="s">
        <v>12621</v>
      </c>
      <c r="C1108" s="2" t="s">
        <v>12622</v>
      </c>
      <c r="D1108" s="2" t="s">
        <v>12623</v>
      </c>
      <c r="F1108" s="3" t="s">
        <v>61</v>
      </c>
      <c r="G1108" s="3" t="s">
        <v>60</v>
      </c>
      <c r="H1108" s="3" t="s">
        <v>61</v>
      </c>
      <c r="I1108" s="3" t="s">
        <v>61</v>
      </c>
      <c r="J1108" s="3" t="s">
        <v>62</v>
      </c>
      <c r="L1108" s="2" t="s">
        <v>12624</v>
      </c>
      <c r="M1108" s="3" t="s">
        <v>1870</v>
      </c>
      <c r="O1108" s="3" t="s">
        <v>114</v>
      </c>
      <c r="P1108" s="3" t="s">
        <v>192</v>
      </c>
      <c r="Q1108" s="2" t="s">
        <v>12625</v>
      </c>
      <c r="R1108" s="3" t="s">
        <v>68</v>
      </c>
      <c r="S1108" s="4">
        <v>6</v>
      </c>
      <c r="T1108" s="4">
        <v>6</v>
      </c>
      <c r="U1108" s="5" t="s">
        <v>12626</v>
      </c>
      <c r="V1108" s="5" t="s">
        <v>12626</v>
      </c>
      <c r="W1108" s="5" t="s">
        <v>3441</v>
      </c>
      <c r="X1108" s="5" t="s">
        <v>3441</v>
      </c>
      <c r="Y1108" s="4">
        <v>489</v>
      </c>
      <c r="Z1108" s="4">
        <v>266</v>
      </c>
      <c r="AA1108" s="4">
        <v>1172</v>
      </c>
      <c r="AB1108" s="4">
        <v>2</v>
      </c>
      <c r="AC1108" s="4">
        <v>28</v>
      </c>
      <c r="AD1108" s="4">
        <v>14</v>
      </c>
      <c r="AE1108" s="4">
        <v>38</v>
      </c>
      <c r="AF1108" s="4">
        <v>4</v>
      </c>
      <c r="AG1108" s="4">
        <v>10</v>
      </c>
      <c r="AH1108" s="4">
        <v>5</v>
      </c>
      <c r="AI1108" s="4">
        <v>8</v>
      </c>
      <c r="AJ1108" s="4">
        <v>8</v>
      </c>
      <c r="AK1108" s="4">
        <v>13</v>
      </c>
      <c r="AL1108" s="4">
        <v>1</v>
      </c>
      <c r="AM1108" s="4">
        <v>13</v>
      </c>
      <c r="AN1108" s="4">
        <v>0</v>
      </c>
      <c r="AO1108" s="4">
        <v>0</v>
      </c>
      <c r="AP1108" s="3" t="s">
        <v>61</v>
      </c>
      <c r="AQ1108" s="3" t="s">
        <v>59</v>
      </c>
      <c r="AR1108" s="6" t="str">
        <f>HYPERLINK("http://catalog.hathitrust.org/Record/002871118","HathiTrust Record")</f>
        <v>HathiTrust Record</v>
      </c>
      <c r="AS1108" s="6" t="str">
        <f>HYPERLINK("https://creighton-primo.hosted.exlibrisgroup.com/primo-explore/search?tab=default_tab&amp;search_scope=EVERYTHING&amp;vid=01CRU&amp;lang=en_US&amp;offset=0&amp;query=any,contains,991002229399702656","Catalog Record")</f>
        <v>Catalog Record</v>
      </c>
      <c r="AT1108" s="6" t="str">
        <f>HYPERLINK("http://www.worldcat.org/oclc/28711488","WorldCat Record")</f>
        <v>WorldCat Record</v>
      </c>
      <c r="AU1108" s="3" t="s">
        <v>12627</v>
      </c>
      <c r="AV1108" s="3" t="s">
        <v>12628</v>
      </c>
      <c r="AW1108" s="3" t="s">
        <v>12629</v>
      </c>
      <c r="AX1108" s="3" t="s">
        <v>12629</v>
      </c>
      <c r="AY1108" s="3" t="s">
        <v>12630</v>
      </c>
      <c r="AZ1108" s="3" t="s">
        <v>75</v>
      </c>
      <c r="BB1108" s="3" t="s">
        <v>12631</v>
      </c>
      <c r="BC1108" s="3" t="s">
        <v>12632</v>
      </c>
      <c r="BD1108" s="3" t="s">
        <v>12633</v>
      </c>
    </row>
    <row r="1109" spans="1:56" ht="44.25" customHeight="1" x14ac:dyDescent="0.25">
      <c r="A1109" s="7" t="s">
        <v>61</v>
      </c>
      <c r="B1109" s="2" t="s">
        <v>12634</v>
      </c>
      <c r="C1109" s="2" t="s">
        <v>12635</v>
      </c>
      <c r="D1109" s="2" t="s">
        <v>12636</v>
      </c>
      <c r="F1109" s="3" t="s">
        <v>61</v>
      </c>
      <c r="G1109" s="3" t="s">
        <v>60</v>
      </c>
      <c r="H1109" s="3" t="s">
        <v>61</v>
      </c>
      <c r="I1109" s="3" t="s">
        <v>61</v>
      </c>
      <c r="J1109" s="3" t="s">
        <v>62</v>
      </c>
      <c r="L1109" s="2" t="s">
        <v>12637</v>
      </c>
      <c r="M1109" s="3" t="s">
        <v>422</v>
      </c>
      <c r="O1109" s="3" t="s">
        <v>114</v>
      </c>
      <c r="P1109" s="3" t="s">
        <v>2432</v>
      </c>
      <c r="R1109" s="3" t="s">
        <v>68</v>
      </c>
      <c r="S1109" s="4">
        <v>2</v>
      </c>
      <c r="T1109" s="4">
        <v>2</v>
      </c>
      <c r="U1109" s="5" t="s">
        <v>12638</v>
      </c>
      <c r="V1109" s="5" t="s">
        <v>12638</v>
      </c>
      <c r="W1109" s="5" t="s">
        <v>12638</v>
      </c>
      <c r="X1109" s="5" t="s">
        <v>12638</v>
      </c>
      <c r="Y1109" s="4">
        <v>193</v>
      </c>
      <c r="Z1109" s="4">
        <v>163</v>
      </c>
      <c r="AA1109" s="4">
        <v>180</v>
      </c>
      <c r="AB1109" s="4">
        <v>2</v>
      </c>
      <c r="AC1109" s="4">
        <v>2</v>
      </c>
      <c r="AD1109" s="4">
        <v>7</v>
      </c>
      <c r="AE1109" s="4">
        <v>7</v>
      </c>
      <c r="AF1109" s="4">
        <v>1</v>
      </c>
      <c r="AG1109" s="4">
        <v>1</v>
      </c>
      <c r="AH1109" s="4">
        <v>1</v>
      </c>
      <c r="AI1109" s="4">
        <v>1</v>
      </c>
      <c r="AJ1109" s="4">
        <v>6</v>
      </c>
      <c r="AK1109" s="4">
        <v>6</v>
      </c>
      <c r="AL1109" s="4">
        <v>1</v>
      </c>
      <c r="AM1109" s="4">
        <v>1</v>
      </c>
      <c r="AN1109" s="4">
        <v>0</v>
      </c>
      <c r="AO1109" s="4">
        <v>0</v>
      </c>
      <c r="AP1109" s="3" t="s">
        <v>61</v>
      </c>
      <c r="AQ1109" s="3" t="s">
        <v>59</v>
      </c>
      <c r="AR1109" s="6" t="str">
        <f>HYPERLINK("http://catalog.hathitrust.org/Record/003960046","HathiTrust Record")</f>
        <v>HathiTrust Record</v>
      </c>
      <c r="AS1109" s="6" t="str">
        <f>HYPERLINK("https://creighton-primo.hosted.exlibrisgroup.com/primo-explore/search?tab=default_tab&amp;search_scope=EVERYTHING&amp;vid=01CRU&amp;lang=en_US&amp;offset=0&amp;query=any,contains,991003320269702656","Catalog Record")</f>
        <v>Catalog Record</v>
      </c>
      <c r="AT1109" s="6" t="str">
        <f>HYPERLINK("http://www.worldcat.org/oclc/37457909","WorldCat Record")</f>
        <v>WorldCat Record</v>
      </c>
      <c r="AU1109" s="3" t="s">
        <v>12639</v>
      </c>
      <c r="AV1109" s="3" t="s">
        <v>12640</v>
      </c>
      <c r="AW1109" s="3" t="s">
        <v>12641</v>
      </c>
      <c r="AX1109" s="3" t="s">
        <v>12641</v>
      </c>
      <c r="AY1109" s="3" t="s">
        <v>12642</v>
      </c>
      <c r="AZ1109" s="3" t="s">
        <v>75</v>
      </c>
      <c r="BB1109" s="3" t="s">
        <v>12643</v>
      </c>
      <c r="BC1109" s="3" t="s">
        <v>12644</v>
      </c>
      <c r="BD1109" s="3" t="s">
        <v>12645</v>
      </c>
    </row>
    <row r="1110" spans="1:56" ht="44.25" customHeight="1" x14ac:dyDescent="0.25">
      <c r="A1110" s="7" t="s">
        <v>61</v>
      </c>
      <c r="B1110" s="2" t="s">
        <v>12646</v>
      </c>
      <c r="C1110" s="2" t="s">
        <v>12647</v>
      </c>
      <c r="D1110" s="2" t="s">
        <v>12648</v>
      </c>
      <c r="F1110" s="3" t="s">
        <v>61</v>
      </c>
      <c r="G1110" s="3" t="s">
        <v>60</v>
      </c>
      <c r="H1110" s="3" t="s">
        <v>61</v>
      </c>
      <c r="I1110" s="3" t="s">
        <v>61</v>
      </c>
      <c r="J1110" s="3" t="s">
        <v>62</v>
      </c>
      <c r="K1110" s="2" t="s">
        <v>12649</v>
      </c>
      <c r="L1110" s="2" t="s">
        <v>12650</v>
      </c>
      <c r="M1110" s="3" t="s">
        <v>1758</v>
      </c>
      <c r="O1110" s="3" t="s">
        <v>114</v>
      </c>
      <c r="P1110" s="3" t="s">
        <v>192</v>
      </c>
      <c r="R1110" s="3" t="s">
        <v>68</v>
      </c>
      <c r="S1110" s="4">
        <v>3</v>
      </c>
      <c r="T1110" s="4">
        <v>3</v>
      </c>
      <c r="U1110" s="5" t="s">
        <v>7208</v>
      </c>
      <c r="V1110" s="5" t="s">
        <v>7208</v>
      </c>
      <c r="W1110" s="5" t="s">
        <v>2699</v>
      </c>
      <c r="X1110" s="5" t="s">
        <v>2699</v>
      </c>
      <c r="Y1110" s="4">
        <v>676</v>
      </c>
      <c r="Z1110" s="4">
        <v>507</v>
      </c>
      <c r="AA1110" s="4">
        <v>514</v>
      </c>
      <c r="AB1110" s="4">
        <v>6</v>
      </c>
      <c r="AC1110" s="4">
        <v>6</v>
      </c>
      <c r="AD1110" s="4">
        <v>25</v>
      </c>
      <c r="AE1110" s="4">
        <v>26</v>
      </c>
      <c r="AF1110" s="4">
        <v>9</v>
      </c>
      <c r="AG1110" s="4">
        <v>10</v>
      </c>
      <c r="AH1110" s="4">
        <v>7</v>
      </c>
      <c r="AI1110" s="4">
        <v>7</v>
      </c>
      <c r="AJ1110" s="4">
        <v>12</v>
      </c>
      <c r="AK1110" s="4">
        <v>13</v>
      </c>
      <c r="AL1110" s="4">
        <v>5</v>
      </c>
      <c r="AM1110" s="4">
        <v>5</v>
      </c>
      <c r="AN1110" s="4">
        <v>0</v>
      </c>
      <c r="AO1110" s="4">
        <v>0</v>
      </c>
      <c r="AP1110" s="3" t="s">
        <v>61</v>
      </c>
      <c r="AQ1110" s="3" t="s">
        <v>61</v>
      </c>
      <c r="AS1110" s="6" t="str">
        <f>HYPERLINK("https://creighton-primo.hosted.exlibrisgroup.com/primo-explore/search?tab=default_tab&amp;search_scope=EVERYTHING&amp;vid=01CRU&amp;lang=en_US&amp;offset=0&amp;query=any,contains,991005110319702656","Catalog Record")</f>
        <v>Catalog Record</v>
      </c>
      <c r="AT1110" s="6" t="str">
        <f>HYPERLINK("http://www.worldcat.org/oclc/7373130","WorldCat Record")</f>
        <v>WorldCat Record</v>
      </c>
      <c r="AU1110" s="3" t="s">
        <v>12651</v>
      </c>
      <c r="AV1110" s="3" t="s">
        <v>12652</v>
      </c>
      <c r="AW1110" s="3" t="s">
        <v>12653</v>
      </c>
      <c r="AX1110" s="3" t="s">
        <v>12653</v>
      </c>
      <c r="AY1110" s="3" t="s">
        <v>12654</v>
      </c>
      <c r="AZ1110" s="3" t="s">
        <v>75</v>
      </c>
      <c r="BC1110" s="3" t="s">
        <v>12655</v>
      </c>
      <c r="BD1110" s="3" t="s">
        <v>12656</v>
      </c>
    </row>
    <row r="1111" spans="1:56" ht="44.25" customHeight="1" x14ac:dyDescent="0.25">
      <c r="A1111" s="7" t="s">
        <v>61</v>
      </c>
      <c r="B1111" s="2" t="s">
        <v>12657</v>
      </c>
      <c r="C1111" s="2" t="s">
        <v>12658</v>
      </c>
      <c r="D1111" s="2" t="s">
        <v>12659</v>
      </c>
      <c r="F1111" s="3" t="s">
        <v>61</v>
      </c>
      <c r="G1111" s="3" t="s">
        <v>60</v>
      </c>
      <c r="H1111" s="3" t="s">
        <v>61</v>
      </c>
      <c r="I1111" s="3" t="s">
        <v>61</v>
      </c>
      <c r="J1111" s="3" t="s">
        <v>62</v>
      </c>
      <c r="K1111" s="2" t="s">
        <v>12660</v>
      </c>
      <c r="L1111" s="2" t="s">
        <v>12661</v>
      </c>
      <c r="M1111" s="3" t="s">
        <v>334</v>
      </c>
      <c r="O1111" s="3" t="s">
        <v>114</v>
      </c>
      <c r="P1111" s="3" t="s">
        <v>619</v>
      </c>
      <c r="R1111" s="3" t="s">
        <v>68</v>
      </c>
      <c r="S1111" s="4">
        <v>1</v>
      </c>
      <c r="T1111" s="4">
        <v>1</v>
      </c>
      <c r="U1111" s="5" t="s">
        <v>12662</v>
      </c>
      <c r="V1111" s="5" t="s">
        <v>12662</v>
      </c>
      <c r="W1111" s="5" t="s">
        <v>12292</v>
      </c>
      <c r="X1111" s="5" t="s">
        <v>12292</v>
      </c>
      <c r="Y1111" s="4">
        <v>805</v>
      </c>
      <c r="Z1111" s="4">
        <v>671</v>
      </c>
      <c r="AA1111" s="4">
        <v>677</v>
      </c>
      <c r="AB1111" s="4">
        <v>5</v>
      </c>
      <c r="AC1111" s="4">
        <v>5</v>
      </c>
      <c r="AD1111" s="4">
        <v>28</v>
      </c>
      <c r="AE1111" s="4">
        <v>28</v>
      </c>
      <c r="AF1111" s="4">
        <v>11</v>
      </c>
      <c r="AG1111" s="4">
        <v>11</v>
      </c>
      <c r="AH1111" s="4">
        <v>6</v>
      </c>
      <c r="AI1111" s="4">
        <v>6</v>
      </c>
      <c r="AJ1111" s="4">
        <v>13</v>
      </c>
      <c r="AK1111" s="4">
        <v>13</v>
      </c>
      <c r="AL1111" s="4">
        <v>4</v>
      </c>
      <c r="AM1111" s="4">
        <v>4</v>
      </c>
      <c r="AN1111" s="4">
        <v>2</v>
      </c>
      <c r="AO1111" s="4">
        <v>2</v>
      </c>
      <c r="AP1111" s="3" t="s">
        <v>61</v>
      </c>
      <c r="AQ1111" s="3" t="s">
        <v>59</v>
      </c>
      <c r="AR1111" s="6" t="str">
        <f>HYPERLINK("http://catalog.hathitrust.org/Record/000826430","HathiTrust Record")</f>
        <v>HathiTrust Record</v>
      </c>
      <c r="AS1111" s="6" t="str">
        <f>HYPERLINK("https://creighton-primo.hosted.exlibrisgroup.com/primo-explore/search?tab=default_tab&amp;search_scope=EVERYTHING&amp;vid=01CRU&amp;lang=en_US&amp;offset=0&amp;query=any,contains,991001060939702656","Catalog Record")</f>
        <v>Catalog Record</v>
      </c>
      <c r="AT1111" s="6" t="str">
        <f>HYPERLINK("http://www.worldcat.org/oclc/15789862","WorldCat Record")</f>
        <v>WorldCat Record</v>
      </c>
      <c r="AU1111" s="3" t="s">
        <v>12663</v>
      </c>
      <c r="AV1111" s="3" t="s">
        <v>12664</v>
      </c>
      <c r="AW1111" s="3" t="s">
        <v>12665</v>
      </c>
      <c r="AX1111" s="3" t="s">
        <v>12665</v>
      </c>
      <c r="AY1111" s="3" t="s">
        <v>12666</v>
      </c>
      <c r="AZ1111" s="3" t="s">
        <v>75</v>
      </c>
      <c r="BB1111" s="3" t="s">
        <v>12667</v>
      </c>
      <c r="BC1111" s="3" t="s">
        <v>12668</v>
      </c>
      <c r="BD1111" s="3" t="s">
        <v>12669</v>
      </c>
    </row>
    <row r="1112" spans="1:56" ht="44.25" customHeight="1" x14ac:dyDescent="0.25">
      <c r="A1112" s="7" t="s">
        <v>61</v>
      </c>
      <c r="B1112" s="2" t="s">
        <v>12670</v>
      </c>
      <c r="C1112" s="2" t="s">
        <v>12671</v>
      </c>
      <c r="D1112" s="2" t="s">
        <v>12672</v>
      </c>
      <c r="F1112" s="3" t="s">
        <v>61</v>
      </c>
      <c r="G1112" s="3" t="s">
        <v>60</v>
      </c>
      <c r="H1112" s="3" t="s">
        <v>61</v>
      </c>
      <c r="I1112" s="3" t="s">
        <v>61</v>
      </c>
      <c r="J1112" s="3" t="s">
        <v>62</v>
      </c>
      <c r="K1112" s="2" t="s">
        <v>11728</v>
      </c>
      <c r="L1112" s="2" t="s">
        <v>12673</v>
      </c>
      <c r="M1112" s="3" t="s">
        <v>2391</v>
      </c>
      <c r="N1112" s="2" t="s">
        <v>12674</v>
      </c>
      <c r="O1112" s="3" t="s">
        <v>114</v>
      </c>
      <c r="P1112" s="3" t="s">
        <v>192</v>
      </c>
      <c r="R1112" s="3" t="s">
        <v>68</v>
      </c>
      <c r="S1112" s="4">
        <v>2</v>
      </c>
      <c r="T1112" s="4">
        <v>2</v>
      </c>
      <c r="U1112" s="5" t="s">
        <v>12675</v>
      </c>
      <c r="V1112" s="5" t="s">
        <v>12675</v>
      </c>
      <c r="W1112" s="5" t="s">
        <v>12675</v>
      </c>
      <c r="X1112" s="5" t="s">
        <v>12675</v>
      </c>
      <c r="Y1112" s="4">
        <v>210</v>
      </c>
      <c r="Z1112" s="4">
        <v>122</v>
      </c>
      <c r="AA1112" s="4">
        <v>126</v>
      </c>
      <c r="AB1112" s="4">
        <v>1</v>
      </c>
      <c r="AC1112" s="4">
        <v>1</v>
      </c>
      <c r="AD1112" s="4">
        <v>7</v>
      </c>
      <c r="AE1112" s="4">
        <v>7</v>
      </c>
      <c r="AF1112" s="4">
        <v>2</v>
      </c>
      <c r="AG1112" s="4">
        <v>2</v>
      </c>
      <c r="AH1112" s="4">
        <v>3</v>
      </c>
      <c r="AI1112" s="4">
        <v>3</v>
      </c>
      <c r="AJ1112" s="4">
        <v>4</v>
      </c>
      <c r="AK1112" s="4">
        <v>4</v>
      </c>
      <c r="AL1112" s="4">
        <v>0</v>
      </c>
      <c r="AM1112" s="4">
        <v>0</v>
      </c>
      <c r="AN1112" s="4">
        <v>0</v>
      </c>
      <c r="AO1112" s="4">
        <v>0</v>
      </c>
      <c r="AP1112" s="3" t="s">
        <v>61</v>
      </c>
      <c r="AQ1112" s="3" t="s">
        <v>61</v>
      </c>
      <c r="AS1112" s="6" t="str">
        <f>HYPERLINK("https://creighton-primo.hosted.exlibrisgroup.com/primo-explore/search?tab=default_tab&amp;search_scope=EVERYTHING&amp;vid=01CRU&amp;lang=en_US&amp;offset=0&amp;query=any,contains,991003621019702656","Catalog Record")</f>
        <v>Catalog Record</v>
      </c>
      <c r="AT1112" s="6" t="str">
        <f>HYPERLINK("http://www.worldcat.org/oclc/44016541","WorldCat Record")</f>
        <v>WorldCat Record</v>
      </c>
      <c r="AU1112" s="3" t="s">
        <v>12676</v>
      </c>
      <c r="AV1112" s="3" t="s">
        <v>12677</v>
      </c>
      <c r="AW1112" s="3" t="s">
        <v>12678</v>
      </c>
      <c r="AX1112" s="3" t="s">
        <v>12678</v>
      </c>
      <c r="AY1112" s="3" t="s">
        <v>12679</v>
      </c>
      <c r="AZ1112" s="3" t="s">
        <v>75</v>
      </c>
      <c r="BB1112" s="3" t="s">
        <v>12680</v>
      </c>
      <c r="BC1112" s="3" t="s">
        <v>12681</v>
      </c>
      <c r="BD1112" s="3" t="s">
        <v>12682</v>
      </c>
    </row>
    <row r="1113" spans="1:56" ht="44.25" customHeight="1" x14ac:dyDescent="0.25">
      <c r="A1113" s="7" t="s">
        <v>61</v>
      </c>
      <c r="B1113" s="2" t="s">
        <v>12683</v>
      </c>
      <c r="C1113" s="2" t="s">
        <v>12684</v>
      </c>
      <c r="D1113" s="2" t="s">
        <v>12685</v>
      </c>
      <c r="F1113" s="3" t="s">
        <v>61</v>
      </c>
      <c r="G1113" s="3" t="s">
        <v>60</v>
      </c>
      <c r="H1113" s="3" t="s">
        <v>61</v>
      </c>
      <c r="I1113" s="3" t="s">
        <v>61</v>
      </c>
      <c r="J1113" s="3" t="s">
        <v>62</v>
      </c>
      <c r="K1113" s="2" t="s">
        <v>12686</v>
      </c>
      <c r="L1113" s="2" t="s">
        <v>12687</v>
      </c>
      <c r="M1113" s="3" t="s">
        <v>407</v>
      </c>
      <c r="O1113" s="3" t="s">
        <v>114</v>
      </c>
      <c r="P1113" s="3" t="s">
        <v>12688</v>
      </c>
      <c r="R1113" s="3" t="s">
        <v>68</v>
      </c>
      <c r="S1113" s="4">
        <v>11</v>
      </c>
      <c r="T1113" s="4">
        <v>11</v>
      </c>
      <c r="U1113" s="5" t="s">
        <v>12689</v>
      </c>
      <c r="V1113" s="5" t="s">
        <v>12689</v>
      </c>
      <c r="W1113" s="5" t="s">
        <v>12690</v>
      </c>
      <c r="X1113" s="5" t="s">
        <v>12690</v>
      </c>
      <c r="Y1113" s="4">
        <v>217</v>
      </c>
      <c r="Z1113" s="4">
        <v>125</v>
      </c>
      <c r="AA1113" s="4">
        <v>126</v>
      </c>
      <c r="AB1113" s="4">
        <v>3</v>
      </c>
      <c r="AC1113" s="4">
        <v>3</v>
      </c>
      <c r="AD1113" s="4">
        <v>10</v>
      </c>
      <c r="AE1113" s="4">
        <v>10</v>
      </c>
      <c r="AF1113" s="4">
        <v>2</v>
      </c>
      <c r="AG1113" s="4">
        <v>2</v>
      </c>
      <c r="AH1113" s="4">
        <v>3</v>
      </c>
      <c r="AI1113" s="4">
        <v>3</v>
      </c>
      <c r="AJ1113" s="4">
        <v>5</v>
      </c>
      <c r="AK1113" s="4">
        <v>5</v>
      </c>
      <c r="AL1113" s="4">
        <v>2</v>
      </c>
      <c r="AM1113" s="4">
        <v>2</v>
      </c>
      <c r="AN1113" s="4">
        <v>0</v>
      </c>
      <c r="AO1113" s="4">
        <v>0</v>
      </c>
      <c r="AP1113" s="3" t="s">
        <v>61</v>
      </c>
      <c r="AQ1113" s="3" t="s">
        <v>59</v>
      </c>
      <c r="AR1113" s="6" t="str">
        <f>HYPERLINK("http://catalog.hathitrust.org/Record/003036232","HathiTrust Record")</f>
        <v>HathiTrust Record</v>
      </c>
      <c r="AS1113" s="6" t="str">
        <f>HYPERLINK("https://creighton-primo.hosted.exlibrisgroup.com/primo-explore/search?tab=default_tab&amp;search_scope=EVERYTHING&amp;vid=01CRU&amp;lang=en_US&amp;offset=0&amp;query=any,contains,991005421339702656","Catalog Record")</f>
        <v>Catalog Record</v>
      </c>
      <c r="AT1113" s="6" t="str">
        <f>HYPERLINK("http://www.worldcat.org/oclc/32548076","WorldCat Record")</f>
        <v>WorldCat Record</v>
      </c>
      <c r="AU1113" s="3" t="s">
        <v>12691</v>
      </c>
      <c r="AV1113" s="3" t="s">
        <v>12692</v>
      </c>
      <c r="AW1113" s="3" t="s">
        <v>12693</v>
      </c>
      <c r="AX1113" s="3" t="s">
        <v>12693</v>
      </c>
      <c r="AY1113" s="3" t="s">
        <v>12694</v>
      </c>
      <c r="AZ1113" s="3" t="s">
        <v>75</v>
      </c>
      <c r="BB1113" s="3" t="s">
        <v>12695</v>
      </c>
      <c r="BC1113" s="3" t="s">
        <v>12696</v>
      </c>
      <c r="BD1113" s="3" t="s">
        <v>12697</v>
      </c>
    </row>
    <row r="1114" spans="1:56" ht="44.25" customHeight="1" x14ac:dyDescent="0.25">
      <c r="A1114" s="7" t="s">
        <v>61</v>
      </c>
      <c r="B1114" s="2" t="s">
        <v>12698</v>
      </c>
      <c r="C1114" s="2" t="s">
        <v>12699</v>
      </c>
      <c r="D1114" s="2" t="s">
        <v>12700</v>
      </c>
      <c r="E1114" s="3" t="s">
        <v>2263</v>
      </c>
      <c r="F1114" s="3" t="s">
        <v>59</v>
      </c>
      <c r="G1114" s="3" t="s">
        <v>60</v>
      </c>
      <c r="H1114" s="3" t="s">
        <v>61</v>
      </c>
      <c r="I1114" s="3" t="s">
        <v>61</v>
      </c>
      <c r="J1114" s="3" t="s">
        <v>62</v>
      </c>
      <c r="L1114" s="2" t="s">
        <v>3979</v>
      </c>
      <c r="M1114" s="3" t="s">
        <v>2391</v>
      </c>
      <c r="O1114" s="3" t="s">
        <v>114</v>
      </c>
      <c r="P1114" s="3" t="s">
        <v>235</v>
      </c>
      <c r="R1114" s="3" t="s">
        <v>68</v>
      </c>
      <c r="S1114" s="4">
        <v>2</v>
      </c>
      <c r="T1114" s="4">
        <v>2</v>
      </c>
      <c r="U1114" s="5" t="s">
        <v>12701</v>
      </c>
      <c r="V1114" s="5" t="s">
        <v>12701</v>
      </c>
      <c r="W1114" s="5" t="s">
        <v>12359</v>
      </c>
      <c r="X1114" s="5" t="s">
        <v>12359</v>
      </c>
      <c r="Y1114" s="4">
        <v>143</v>
      </c>
      <c r="Z1114" s="4">
        <v>97</v>
      </c>
      <c r="AA1114" s="4">
        <v>97</v>
      </c>
      <c r="AB1114" s="4">
        <v>1</v>
      </c>
      <c r="AC1114" s="4">
        <v>1</v>
      </c>
      <c r="AD1114" s="4">
        <v>5</v>
      </c>
      <c r="AE1114" s="4">
        <v>5</v>
      </c>
      <c r="AF1114" s="4">
        <v>3</v>
      </c>
      <c r="AG1114" s="4">
        <v>3</v>
      </c>
      <c r="AH1114" s="4">
        <v>2</v>
      </c>
      <c r="AI1114" s="4">
        <v>2</v>
      </c>
      <c r="AJ1114" s="4">
        <v>3</v>
      </c>
      <c r="AK1114" s="4">
        <v>3</v>
      </c>
      <c r="AL1114" s="4">
        <v>0</v>
      </c>
      <c r="AM1114" s="4">
        <v>0</v>
      </c>
      <c r="AN1114" s="4">
        <v>0</v>
      </c>
      <c r="AO1114" s="4">
        <v>0</v>
      </c>
      <c r="AP1114" s="3" t="s">
        <v>61</v>
      </c>
      <c r="AQ1114" s="3" t="s">
        <v>61</v>
      </c>
      <c r="AS1114" s="6" t="str">
        <f>HYPERLINK("https://creighton-primo.hosted.exlibrisgroup.com/primo-explore/search?tab=default_tab&amp;search_scope=EVERYTHING&amp;vid=01CRU&amp;lang=en_US&amp;offset=0&amp;query=any,contains,991003693879702656","Catalog Record")</f>
        <v>Catalog Record</v>
      </c>
      <c r="AT1114" s="6" t="str">
        <f>HYPERLINK("http://www.worldcat.org/oclc/46991983","WorldCat Record")</f>
        <v>WorldCat Record</v>
      </c>
      <c r="AU1114" s="3" t="s">
        <v>12702</v>
      </c>
      <c r="AV1114" s="3" t="s">
        <v>12703</v>
      </c>
      <c r="AW1114" s="3" t="s">
        <v>12704</v>
      </c>
      <c r="AX1114" s="3" t="s">
        <v>12704</v>
      </c>
      <c r="AY1114" s="3" t="s">
        <v>12705</v>
      </c>
      <c r="AZ1114" s="3" t="s">
        <v>75</v>
      </c>
      <c r="BB1114" s="3" t="s">
        <v>12706</v>
      </c>
      <c r="BC1114" s="3" t="s">
        <v>12707</v>
      </c>
      <c r="BD1114" s="3" t="s">
        <v>12708</v>
      </c>
    </row>
    <row r="1115" spans="1:56" ht="44.25" customHeight="1" x14ac:dyDescent="0.25">
      <c r="A1115" s="7" t="s">
        <v>61</v>
      </c>
      <c r="B1115" s="2" t="s">
        <v>12709</v>
      </c>
      <c r="C1115" s="2" t="s">
        <v>12710</v>
      </c>
      <c r="D1115" s="2" t="s">
        <v>12711</v>
      </c>
      <c r="F1115" s="3" t="s">
        <v>61</v>
      </c>
      <c r="G1115" s="3" t="s">
        <v>60</v>
      </c>
      <c r="H1115" s="3" t="s">
        <v>61</v>
      </c>
      <c r="I1115" s="3" t="s">
        <v>61</v>
      </c>
      <c r="J1115" s="3" t="s">
        <v>62</v>
      </c>
      <c r="K1115" s="2" t="s">
        <v>12712</v>
      </c>
      <c r="L1115" s="2" t="s">
        <v>12713</v>
      </c>
      <c r="M1115" s="3" t="s">
        <v>1211</v>
      </c>
      <c r="O1115" s="3" t="s">
        <v>114</v>
      </c>
      <c r="P1115" s="3" t="s">
        <v>235</v>
      </c>
      <c r="R1115" s="3" t="s">
        <v>68</v>
      </c>
      <c r="S1115" s="4">
        <v>3</v>
      </c>
      <c r="T1115" s="4">
        <v>3</v>
      </c>
      <c r="U1115" s="5" t="s">
        <v>12714</v>
      </c>
      <c r="V1115" s="5" t="s">
        <v>12714</v>
      </c>
      <c r="W1115" s="5" t="s">
        <v>12200</v>
      </c>
      <c r="X1115" s="5" t="s">
        <v>12200</v>
      </c>
      <c r="Y1115" s="4">
        <v>767</v>
      </c>
      <c r="Z1115" s="4">
        <v>659</v>
      </c>
      <c r="AA1115" s="4">
        <v>662</v>
      </c>
      <c r="AB1115" s="4">
        <v>6</v>
      </c>
      <c r="AC1115" s="4">
        <v>6</v>
      </c>
      <c r="AD1115" s="4">
        <v>30</v>
      </c>
      <c r="AE1115" s="4">
        <v>30</v>
      </c>
      <c r="AF1115" s="4">
        <v>6</v>
      </c>
      <c r="AG1115" s="4">
        <v>6</v>
      </c>
      <c r="AH1115" s="4">
        <v>8</v>
      </c>
      <c r="AI1115" s="4">
        <v>8</v>
      </c>
      <c r="AJ1115" s="4">
        <v>14</v>
      </c>
      <c r="AK1115" s="4">
        <v>14</v>
      </c>
      <c r="AL1115" s="4">
        <v>4</v>
      </c>
      <c r="AM1115" s="4">
        <v>4</v>
      </c>
      <c r="AN1115" s="4">
        <v>5</v>
      </c>
      <c r="AO1115" s="4">
        <v>5</v>
      </c>
      <c r="AP1115" s="3" t="s">
        <v>61</v>
      </c>
      <c r="AQ1115" s="3" t="s">
        <v>59</v>
      </c>
      <c r="AR1115" s="6" t="str">
        <f>HYPERLINK("http://catalog.hathitrust.org/Record/000808978","HathiTrust Record")</f>
        <v>HathiTrust Record</v>
      </c>
      <c r="AS1115" s="6" t="str">
        <f>HYPERLINK("https://creighton-primo.hosted.exlibrisgroup.com/primo-explore/search?tab=default_tab&amp;search_scope=EVERYTHING&amp;vid=01CRU&amp;lang=en_US&amp;offset=0&amp;query=any,contains,991003074289702656","Catalog Record")</f>
        <v>Catalog Record</v>
      </c>
      <c r="AT1115" s="6" t="str">
        <f>HYPERLINK("http://www.worldcat.org/oclc/627910","WorldCat Record")</f>
        <v>WorldCat Record</v>
      </c>
      <c r="AU1115" s="3" t="s">
        <v>12715</v>
      </c>
      <c r="AV1115" s="3" t="s">
        <v>12716</v>
      </c>
      <c r="AW1115" s="3" t="s">
        <v>12717</v>
      </c>
      <c r="AX1115" s="3" t="s">
        <v>12717</v>
      </c>
      <c r="AY1115" s="3" t="s">
        <v>12718</v>
      </c>
      <c r="AZ1115" s="3" t="s">
        <v>75</v>
      </c>
      <c r="BC1115" s="3" t="s">
        <v>12719</v>
      </c>
      <c r="BD1115" s="3" t="s">
        <v>12720</v>
      </c>
    </row>
    <row r="1116" spans="1:56" ht="44.25" customHeight="1" x14ac:dyDescent="0.25">
      <c r="A1116" s="7" t="s">
        <v>61</v>
      </c>
      <c r="B1116" s="2" t="s">
        <v>12721</v>
      </c>
      <c r="C1116" s="2" t="s">
        <v>12722</v>
      </c>
      <c r="D1116" s="2" t="s">
        <v>12723</v>
      </c>
      <c r="F1116" s="3" t="s">
        <v>61</v>
      </c>
      <c r="G1116" s="3" t="s">
        <v>60</v>
      </c>
      <c r="H1116" s="3" t="s">
        <v>61</v>
      </c>
      <c r="I1116" s="3" t="s">
        <v>59</v>
      </c>
      <c r="J1116" s="3" t="s">
        <v>62</v>
      </c>
      <c r="K1116" s="2" t="s">
        <v>12724</v>
      </c>
      <c r="L1116" s="2" t="s">
        <v>12725</v>
      </c>
      <c r="M1116" s="3" t="s">
        <v>579</v>
      </c>
      <c r="N1116" s="2" t="s">
        <v>2877</v>
      </c>
      <c r="O1116" s="3" t="s">
        <v>114</v>
      </c>
      <c r="P1116" s="3" t="s">
        <v>649</v>
      </c>
      <c r="R1116" s="3" t="s">
        <v>68</v>
      </c>
      <c r="S1116" s="4">
        <v>12</v>
      </c>
      <c r="T1116" s="4">
        <v>12</v>
      </c>
      <c r="U1116" s="5" t="s">
        <v>308</v>
      </c>
      <c r="V1116" s="5" t="s">
        <v>308</v>
      </c>
      <c r="W1116" s="5" t="s">
        <v>12512</v>
      </c>
      <c r="X1116" s="5" t="s">
        <v>12512</v>
      </c>
      <c r="Y1116" s="4">
        <v>346</v>
      </c>
      <c r="Z1116" s="4">
        <v>235</v>
      </c>
      <c r="AA1116" s="4">
        <v>699</v>
      </c>
      <c r="AB1116" s="4">
        <v>3</v>
      </c>
      <c r="AC1116" s="4">
        <v>6</v>
      </c>
      <c r="AD1116" s="4">
        <v>8</v>
      </c>
      <c r="AE1116" s="4">
        <v>27</v>
      </c>
      <c r="AF1116" s="4">
        <v>2</v>
      </c>
      <c r="AG1116" s="4">
        <v>7</v>
      </c>
      <c r="AH1116" s="4">
        <v>1</v>
      </c>
      <c r="AI1116" s="4">
        <v>5</v>
      </c>
      <c r="AJ1116" s="4">
        <v>6</v>
      </c>
      <c r="AK1116" s="4">
        <v>16</v>
      </c>
      <c r="AL1116" s="4">
        <v>2</v>
      </c>
      <c r="AM1116" s="4">
        <v>5</v>
      </c>
      <c r="AN1116" s="4">
        <v>0</v>
      </c>
      <c r="AO1116" s="4">
        <v>0</v>
      </c>
      <c r="AP1116" s="3" t="s">
        <v>61</v>
      </c>
      <c r="AQ1116" s="3" t="s">
        <v>59</v>
      </c>
      <c r="AR1116" s="6" t="str">
        <f>HYPERLINK("http://catalog.hathitrust.org/Record/000828329","HathiTrust Record")</f>
        <v>HathiTrust Record</v>
      </c>
      <c r="AS1116" s="6" t="str">
        <f>HYPERLINK("https://creighton-primo.hosted.exlibrisgroup.com/primo-explore/search?tab=default_tab&amp;search_scope=EVERYTHING&amp;vid=01CRU&amp;lang=en_US&amp;offset=0&amp;query=any,contains,991001121529702656","Catalog Record")</f>
        <v>Catalog Record</v>
      </c>
      <c r="AT1116" s="6" t="str">
        <f>HYPERLINK("http://www.worldcat.org/oclc/16581620","WorldCat Record")</f>
        <v>WorldCat Record</v>
      </c>
      <c r="AU1116" s="3" t="s">
        <v>12726</v>
      </c>
      <c r="AV1116" s="3" t="s">
        <v>12727</v>
      </c>
      <c r="AW1116" s="3" t="s">
        <v>12728</v>
      </c>
      <c r="AX1116" s="3" t="s">
        <v>12728</v>
      </c>
      <c r="AY1116" s="3" t="s">
        <v>12729</v>
      </c>
      <c r="AZ1116" s="3" t="s">
        <v>75</v>
      </c>
      <c r="BB1116" s="3" t="s">
        <v>12730</v>
      </c>
      <c r="BC1116" s="3" t="s">
        <v>12731</v>
      </c>
      <c r="BD1116" s="3" t="s">
        <v>12732</v>
      </c>
    </row>
    <row r="1117" spans="1:56" ht="44.25" customHeight="1" x14ac:dyDescent="0.25">
      <c r="A1117" s="7" t="s">
        <v>61</v>
      </c>
      <c r="B1117" s="2" t="s">
        <v>12733</v>
      </c>
      <c r="C1117" s="2" t="s">
        <v>12734</v>
      </c>
      <c r="D1117" s="2" t="s">
        <v>12735</v>
      </c>
      <c r="F1117" s="3" t="s">
        <v>61</v>
      </c>
      <c r="G1117" s="3" t="s">
        <v>60</v>
      </c>
      <c r="H1117" s="3" t="s">
        <v>61</v>
      </c>
      <c r="I1117" s="3" t="s">
        <v>61</v>
      </c>
      <c r="J1117" s="3" t="s">
        <v>62</v>
      </c>
      <c r="K1117" s="2" t="s">
        <v>8475</v>
      </c>
      <c r="L1117" s="2" t="s">
        <v>12736</v>
      </c>
      <c r="M1117" s="3" t="s">
        <v>884</v>
      </c>
      <c r="N1117" s="2" t="s">
        <v>306</v>
      </c>
      <c r="O1117" s="3" t="s">
        <v>114</v>
      </c>
      <c r="P1117" s="3" t="s">
        <v>235</v>
      </c>
      <c r="R1117" s="3" t="s">
        <v>68</v>
      </c>
      <c r="S1117" s="4">
        <v>3</v>
      </c>
      <c r="T1117" s="4">
        <v>3</v>
      </c>
      <c r="U1117" s="5" t="s">
        <v>12737</v>
      </c>
      <c r="V1117" s="5" t="s">
        <v>12737</v>
      </c>
      <c r="W1117" s="5" t="s">
        <v>2098</v>
      </c>
      <c r="X1117" s="5" t="s">
        <v>2098</v>
      </c>
      <c r="Y1117" s="4">
        <v>1279</v>
      </c>
      <c r="Z1117" s="4">
        <v>1129</v>
      </c>
      <c r="AA1117" s="4">
        <v>1141</v>
      </c>
      <c r="AB1117" s="4">
        <v>9</v>
      </c>
      <c r="AC1117" s="4">
        <v>9</v>
      </c>
      <c r="AD1117" s="4">
        <v>44</v>
      </c>
      <c r="AE1117" s="4">
        <v>44</v>
      </c>
      <c r="AF1117" s="4">
        <v>19</v>
      </c>
      <c r="AG1117" s="4">
        <v>19</v>
      </c>
      <c r="AH1117" s="4">
        <v>9</v>
      </c>
      <c r="AI1117" s="4">
        <v>9</v>
      </c>
      <c r="AJ1117" s="4">
        <v>17</v>
      </c>
      <c r="AK1117" s="4">
        <v>17</v>
      </c>
      <c r="AL1117" s="4">
        <v>7</v>
      </c>
      <c r="AM1117" s="4">
        <v>7</v>
      </c>
      <c r="AN1117" s="4">
        <v>0</v>
      </c>
      <c r="AO1117" s="4">
        <v>0</v>
      </c>
      <c r="AP1117" s="3" t="s">
        <v>61</v>
      </c>
      <c r="AQ1117" s="3" t="s">
        <v>59</v>
      </c>
      <c r="AR1117" s="6" t="str">
        <f>HYPERLINK("http://catalog.hathitrust.org/Record/000808989","HathiTrust Record")</f>
        <v>HathiTrust Record</v>
      </c>
      <c r="AS1117" s="6" t="str">
        <f>HYPERLINK("https://creighton-primo.hosted.exlibrisgroup.com/primo-explore/search?tab=default_tab&amp;search_scope=EVERYTHING&amp;vid=01CRU&amp;lang=en_US&amp;offset=0&amp;query=any,contains,991000603579702656","Catalog Record")</f>
        <v>Catalog Record</v>
      </c>
      <c r="AT1117" s="6" t="str">
        <f>HYPERLINK("http://www.worldcat.org/oclc/98522","WorldCat Record")</f>
        <v>WorldCat Record</v>
      </c>
      <c r="AU1117" s="3" t="s">
        <v>12738</v>
      </c>
      <c r="AV1117" s="3" t="s">
        <v>12739</v>
      </c>
      <c r="AW1117" s="3" t="s">
        <v>12740</v>
      </c>
      <c r="AX1117" s="3" t="s">
        <v>12740</v>
      </c>
      <c r="AY1117" s="3" t="s">
        <v>12741</v>
      </c>
      <c r="AZ1117" s="3" t="s">
        <v>75</v>
      </c>
      <c r="BB1117" s="3" t="s">
        <v>12742</v>
      </c>
      <c r="BC1117" s="3" t="s">
        <v>12743</v>
      </c>
      <c r="BD1117" s="3" t="s">
        <v>12744</v>
      </c>
    </row>
    <row r="1118" spans="1:56" ht="44.25" customHeight="1" x14ac:dyDescent="0.25">
      <c r="A1118" s="7" t="s">
        <v>61</v>
      </c>
      <c r="B1118" s="2" t="s">
        <v>12745</v>
      </c>
      <c r="C1118" s="2" t="s">
        <v>12746</v>
      </c>
      <c r="D1118" s="2" t="s">
        <v>12747</v>
      </c>
      <c r="F1118" s="3" t="s">
        <v>61</v>
      </c>
      <c r="G1118" s="3" t="s">
        <v>60</v>
      </c>
      <c r="H1118" s="3" t="s">
        <v>61</v>
      </c>
      <c r="I1118" s="3" t="s">
        <v>61</v>
      </c>
      <c r="J1118" s="3" t="s">
        <v>62</v>
      </c>
      <c r="K1118" s="2" t="s">
        <v>12748</v>
      </c>
      <c r="L1118" s="2" t="s">
        <v>12749</v>
      </c>
      <c r="M1118" s="3" t="s">
        <v>1507</v>
      </c>
      <c r="O1118" s="3" t="s">
        <v>114</v>
      </c>
      <c r="P1118" s="3" t="s">
        <v>649</v>
      </c>
      <c r="R1118" s="3" t="s">
        <v>68</v>
      </c>
      <c r="S1118" s="4">
        <v>2</v>
      </c>
      <c r="T1118" s="4">
        <v>2</v>
      </c>
      <c r="U1118" s="5" t="s">
        <v>12750</v>
      </c>
      <c r="V1118" s="5" t="s">
        <v>12750</v>
      </c>
      <c r="W1118" s="5" t="s">
        <v>12200</v>
      </c>
      <c r="X1118" s="5" t="s">
        <v>12200</v>
      </c>
      <c r="Y1118" s="4">
        <v>105</v>
      </c>
      <c r="Z1118" s="4">
        <v>91</v>
      </c>
      <c r="AA1118" s="4">
        <v>550</v>
      </c>
      <c r="AB1118" s="4">
        <v>2</v>
      </c>
      <c r="AC1118" s="4">
        <v>4</v>
      </c>
      <c r="AD1118" s="4">
        <v>4</v>
      </c>
      <c r="AE1118" s="4">
        <v>20</v>
      </c>
      <c r="AF1118" s="4">
        <v>2</v>
      </c>
      <c r="AG1118" s="4">
        <v>5</v>
      </c>
      <c r="AH1118" s="4">
        <v>2</v>
      </c>
      <c r="AI1118" s="4">
        <v>6</v>
      </c>
      <c r="AJ1118" s="4">
        <v>1</v>
      </c>
      <c r="AK1118" s="4">
        <v>12</v>
      </c>
      <c r="AL1118" s="4">
        <v>1</v>
      </c>
      <c r="AM1118" s="4">
        <v>3</v>
      </c>
      <c r="AN1118" s="4">
        <v>0</v>
      </c>
      <c r="AO1118" s="4">
        <v>0</v>
      </c>
      <c r="AP1118" s="3" t="s">
        <v>61</v>
      </c>
      <c r="AQ1118" s="3" t="s">
        <v>61</v>
      </c>
      <c r="AS1118" s="6" t="str">
        <f>HYPERLINK("https://creighton-primo.hosted.exlibrisgroup.com/primo-explore/search?tab=default_tab&amp;search_scope=EVERYTHING&amp;vid=01CRU&amp;lang=en_US&amp;offset=0&amp;query=any,contains,991003455349702656","Catalog Record")</f>
        <v>Catalog Record</v>
      </c>
      <c r="AT1118" s="6" t="str">
        <f>HYPERLINK("http://www.worldcat.org/oclc/994946","WorldCat Record")</f>
        <v>WorldCat Record</v>
      </c>
      <c r="AU1118" s="3" t="s">
        <v>12751</v>
      </c>
      <c r="AV1118" s="3" t="s">
        <v>12752</v>
      </c>
      <c r="AW1118" s="3" t="s">
        <v>12753</v>
      </c>
      <c r="AX1118" s="3" t="s">
        <v>12753</v>
      </c>
      <c r="AY1118" s="3" t="s">
        <v>12754</v>
      </c>
      <c r="AZ1118" s="3" t="s">
        <v>75</v>
      </c>
      <c r="BB1118" s="3" t="s">
        <v>12755</v>
      </c>
      <c r="BC1118" s="3" t="s">
        <v>12756</v>
      </c>
      <c r="BD1118" s="3" t="s">
        <v>12757</v>
      </c>
    </row>
    <row r="1119" spans="1:56" ht="44.25" customHeight="1" x14ac:dyDescent="0.25">
      <c r="A1119" s="7" t="s">
        <v>61</v>
      </c>
      <c r="B1119" s="2" t="s">
        <v>12758</v>
      </c>
      <c r="C1119" s="2" t="s">
        <v>12759</v>
      </c>
      <c r="D1119" s="2" t="s">
        <v>12760</v>
      </c>
      <c r="F1119" s="3" t="s">
        <v>61</v>
      </c>
      <c r="G1119" s="3" t="s">
        <v>60</v>
      </c>
      <c r="H1119" s="3" t="s">
        <v>61</v>
      </c>
      <c r="I1119" s="3" t="s">
        <v>61</v>
      </c>
      <c r="J1119" s="3" t="s">
        <v>62</v>
      </c>
      <c r="K1119" s="2" t="s">
        <v>12761</v>
      </c>
      <c r="L1119" s="2" t="s">
        <v>12762</v>
      </c>
      <c r="M1119" s="3" t="s">
        <v>755</v>
      </c>
      <c r="O1119" s="3" t="s">
        <v>114</v>
      </c>
      <c r="P1119" s="3" t="s">
        <v>235</v>
      </c>
      <c r="R1119" s="3" t="s">
        <v>68</v>
      </c>
      <c r="S1119" s="4">
        <v>1</v>
      </c>
      <c r="T1119" s="4">
        <v>1</v>
      </c>
      <c r="U1119" s="5" t="s">
        <v>12763</v>
      </c>
      <c r="V1119" s="5" t="s">
        <v>12763</v>
      </c>
      <c r="W1119" s="5" t="s">
        <v>2175</v>
      </c>
      <c r="X1119" s="5" t="s">
        <v>2175</v>
      </c>
      <c r="Y1119" s="4">
        <v>1232</v>
      </c>
      <c r="Z1119" s="4">
        <v>1173</v>
      </c>
      <c r="AA1119" s="4">
        <v>1572</v>
      </c>
      <c r="AB1119" s="4">
        <v>10</v>
      </c>
      <c r="AC1119" s="4">
        <v>12</v>
      </c>
      <c r="AD1119" s="4">
        <v>42</v>
      </c>
      <c r="AE1119" s="4">
        <v>49</v>
      </c>
      <c r="AF1119" s="4">
        <v>16</v>
      </c>
      <c r="AG1119" s="4">
        <v>20</v>
      </c>
      <c r="AH1119" s="4">
        <v>10</v>
      </c>
      <c r="AI1119" s="4">
        <v>11</v>
      </c>
      <c r="AJ1119" s="4">
        <v>18</v>
      </c>
      <c r="AK1119" s="4">
        <v>21</v>
      </c>
      <c r="AL1119" s="4">
        <v>7</v>
      </c>
      <c r="AM1119" s="4">
        <v>8</v>
      </c>
      <c r="AN1119" s="4">
        <v>0</v>
      </c>
      <c r="AO1119" s="4">
        <v>0</v>
      </c>
      <c r="AP1119" s="3" t="s">
        <v>61</v>
      </c>
      <c r="AQ1119" s="3" t="s">
        <v>59</v>
      </c>
      <c r="AR1119" s="6" t="str">
        <f>HYPERLINK("http://catalog.hathitrust.org/Record/000339539","HathiTrust Record")</f>
        <v>HathiTrust Record</v>
      </c>
      <c r="AS1119" s="6" t="str">
        <f>HYPERLINK("https://creighton-primo.hosted.exlibrisgroup.com/primo-explore/search?tab=default_tab&amp;search_scope=EVERYTHING&amp;vid=01CRU&amp;lang=en_US&amp;offset=0&amp;query=any,contains,991004288329702656","Catalog Record")</f>
        <v>Catalog Record</v>
      </c>
      <c r="AT1119" s="6" t="str">
        <f>HYPERLINK("http://www.worldcat.org/oclc/2932743","WorldCat Record")</f>
        <v>WorldCat Record</v>
      </c>
      <c r="AU1119" s="3" t="s">
        <v>12764</v>
      </c>
      <c r="AV1119" s="3" t="s">
        <v>12765</v>
      </c>
      <c r="AW1119" s="3" t="s">
        <v>12766</v>
      </c>
      <c r="AX1119" s="3" t="s">
        <v>12766</v>
      </c>
      <c r="AY1119" s="3" t="s">
        <v>12767</v>
      </c>
      <c r="AZ1119" s="3" t="s">
        <v>75</v>
      </c>
      <c r="BB1119" s="3" t="s">
        <v>12768</v>
      </c>
      <c r="BC1119" s="3" t="s">
        <v>12769</v>
      </c>
      <c r="BD1119" s="3" t="s">
        <v>12770</v>
      </c>
    </row>
    <row r="1120" spans="1:56" ht="44.25" customHeight="1" x14ac:dyDescent="0.25">
      <c r="A1120" s="7" t="s">
        <v>61</v>
      </c>
      <c r="B1120" s="2" t="s">
        <v>12771</v>
      </c>
      <c r="C1120" s="2" t="s">
        <v>12772</v>
      </c>
      <c r="D1120" s="2" t="s">
        <v>12773</v>
      </c>
      <c r="F1120" s="3" t="s">
        <v>61</v>
      </c>
      <c r="G1120" s="3" t="s">
        <v>60</v>
      </c>
      <c r="H1120" s="3" t="s">
        <v>61</v>
      </c>
      <c r="I1120" s="3" t="s">
        <v>61</v>
      </c>
      <c r="J1120" s="3" t="s">
        <v>62</v>
      </c>
      <c r="K1120" s="2" t="s">
        <v>12774</v>
      </c>
      <c r="L1120" s="2" t="s">
        <v>12775</v>
      </c>
      <c r="M1120" s="3" t="s">
        <v>1744</v>
      </c>
      <c r="O1120" s="3" t="s">
        <v>114</v>
      </c>
      <c r="P1120" s="3" t="s">
        <v>115</v>
      </c>
      <c r="Q1120" s="2" t="s">
        <v>3402</v>
      </c>
      <c r="R1120" s="3" t="s">
        <v>68</v>
      </c>
      <c r="S1120" s="4">
        <v>5</v>
      </c>
      <c r="T1120" s="4">
        <v>5</v>
      </c>
      <c r="U1120" s="5" t="s">
        <v>3968</v>
      </c>
      <c r="V1120" s="5" t="s">
        <v>3968</v>
      </c>
      <c r="W1120" s="5" t="s">
        <v>12200</v>
      </c>
      <c r="X1120" s="5" t="s">
        <v>12200</v>
      </c>
      <c r="Y1120" s="4">
        <v>873</v>
      </c>
      <c r="Z1120" s="4">
        <v>732</v>
      </c>
      <c r="AA1120" s="4">
        <v>739</v>
      </c>
      <c r="AB1120" s="4">
        <v>7</v>
      </c>
      <c r="AC1120" s="4">
        <v>7</v>
      </c>
      <c r="AD1120" s="4">
        <v>29</v>
      </c>
      <c r="AE1120" s="4">
        <v>29</v>
      </c>
      <c r="AF1120" s="4">
        <v>9</v>
      </c>
      <c r="AG1120" s="4">
        <v>9</v>
      </c>
      <c r="AH1120" s="4">
        <v>4</v>
      </c>
      <c r="AI1120" s="4">
        <v>4</v>
      </c>
      <c r="AJ1120" s="4">
        <v>15</v>
      </c>
      <c r="AK1120" s="4">
        <v>15</v>
      </c>
      <c r="AL1120" s="4">
        <v>6</v>
      </c>
      <c r="AM1120" s="4">
        <v>6</v>
      </c>
      <c r="AN1120" s="4">
        <v>0</v>
      </c>
      <c r="AO1120" s="4">
        <v>0</v>
      </c>
      <c r="AP1120" s="3" t="s">
        <v>61</v>
      </c>
      <c r="AQ1120" s="3" t="s">
        <v>61</v>
      </c>
      <c r="AR1120" s="6" t="str">
        <f>HYPERLINK("http://catalog.hathitrust.org/Record/000812896","HathiTrust Record")</f>
        <v>HathiTrust Record</v>
      </c>
      <c r="AS1120" s="6" t="str">
        <f>HYPERLINK("https://creighton-primo.hosted.exlibrisgroup.com/primo-explore/search?tab=default_tab&amp;search_scope=EVERYTHING&amp;vid=01CRU&amp;lang=en_US&amp;offset=0&amp;query=any,contains,991003593949702656","Catalog Record")</f>
        <v>Catalog Record</v>
      </c>
      <c r="AT1120" s="6" t="str">
        <f>HYPERLINK("http://www.worldcat.org/oclc/1175469","WorldCat Record")</f>
        <v>WorldCat Record</v>
      </c>
      <c r="AU1120" s="3" t="s">
        <v>12776</v>
      </c>
      <c r="AV1120" s="3" t="s">
        <v>12777</v>
      </c>
      <c r="AW1120" s="3" t="s">
        <v>12778</v>
      </c>
      <c r="AX1120" s="3" t="s">
        <v>12778</v>
      </c>
      <c r="AY1120" s="3" t="s">
        <v>12779</v>
      </c>
      <c r="AZ1120" s="3" t="s">
        <v>75</v>
      </c>
      <c r="BC1120" s="3" t="s">
        <v>12780</v>
      </c>
      <c r="BD1120" s="3" t="s">
        <v>12781</v>
      </c>
    </row>
    <row r="1121" spans="1:56" ht="44.25" customHeight="1" x14ac:dyDescent="0.25">
      <c r="A1121" s="7" t="s">
        <v>61</v>
      </c>
      <c r="B1121" s="2" t="s">
        <v>12782</v>
      </c>
      <c r="C1121" s="2" t="s">
        <v>12783</v>
      </c>
      <c r="D1121" s="2" t="s">
        <v>12784</v>
      </c>
      <c r="F1121" s="3" t="s">
        <v>61</v>
      </c>
      <c r="G1121" s="3" t="s">
        <v>60</v>
      </c>
      <c r="H1121" s="3" t="s">
        <v>61</v>
      </c>
      <c r="I1121" s="3" t="s">
        <v>61</v>
      </c>
      <c r="J1121" s="3" t="s">
        <v>62</v>
      </c>
      <c r="K1121" s="2" t="s">
        <v>12785</v>
      </c>
      <c r="L1121" s="2" t="s">
        <v>12786</v>
      </c>
      <c r="M1121" s="3" t="s">
        <v>707</v>
      </c>
      <c r="N1121" s="2" t="s">
        <v>4233</v>
      </c>
      <c r="O1121" s="3" t="s">
        <v>114</v>
      </c>
      <c r="P1121" s="3" t="s">
        <v>235</v>
      </c>
      <c r="R1121" s="3" t="s">
        <v>68</v>
      </c>
      <c r="S1121" s="4">
        <v>3</v>
      </c>
      <c r="T1121" s="4">
        <v>3</v>
      </c>
      <c r="U1121" s="5" t="s">
        <v>12737</v>
      </c>
      <c r="V1121" s="5" t="s">
        <v>12737</v>
      </c>
      <c r="W1121" s="5" t="s">
        <v>12787</v>
      </c>
      <c r="X1121" s="5" t="s">
        <v>12787</v>
      </c>
      <c r="Y1121" s="4">
        <v>1404</v>
      </c>
      <c r="Z1121" s="4">
        <v>1311</v>
      </c>
      <c r="AA1121" s="4">
        <v>1608</v>
      </c>
      <c r="AB1121" s="4">
        <v>7</v>
      </c>
      <c r="AC1121" s="4">
        <v>9</v>
      </c>
      <c r="AD1121" s="4">
        <v>36</v>
      </c>
      <c r="AE1121" s="4">
        <v>47</v>
      </c>
      <c r="AF1121" s="4">
        <v>17</v>
      </c>
      <c r="AG1121" s="4">
        <v>21</v>
      </c>
      <c r="AH1121" s="4">
        <v>7</v>
      </c>
      <c r="AI1121" s="4">
        <v>10</v>
      </c>
      <c r="AJ1121" s="4">
        <v>16</v>
      </c>
      <c r="AK1121" s="4">
        <v>22</v>
      </c>
      <c r="AL1121" s="4">
        <v>4</v>
      </c>
      <c r="AM1121" s="4">
        <v>6</v>
      </c>
      <c r="AN1121" s="4">
        <v>0</v>
      </c>
      <c r="AO1121" s="4">
        <v>0</v>
      </c>
      <c r="AP1121" s="3" t="s">
        <v>61</v>
      </c>
      <c r="AQ1121" s="3" t="s">
        <v>59</v>
      </c>
      <c r="AR1121" s="6" t="str">
        <f>HYPERLINK("http://catalog.hathitrust.org/Record/000812914","HathiTrust Record")</f>
        <v>HathiTrust Record</v>
      </c>
      <c r="AS1121" s="6" t="str">
        <f>HYPERLINK("https://creighton-primo.hosted.exlibrisgroup.com/primo-explore/search?tab=default_tab&amp;search_scope=EVERYTHING&amp;vid=01CRU&amp;lang=en_US&amp;offset=0&amp;query=any,contains,991001662119702656","Catalog Record")</f>
        <v>Catalog Record</v>
      </c>
      <c r="AT1121" s="6" t="str">
        <f>HYPERLINK("http://www.worldcat.org/oclc/234059","WorldCat Record")</f>
        <v>WorldCat Record</v>
      </c>
      <c r="AU1121" s="3" t="s">
        <v>12788</v>
      </c>
      <c r="AV1121" s="3" t="s">
        <v>12789</v>
      </c>
      <c r="AW1121" s="3" t="s">
        <v>12790</v>
      </c>
      <c r="AX1121" s="3" t="s">
        <v>12790</v>
      </c>
      <c r="AY1121" s="3" t="s">
        <v>12791</v>
      </c>
      <c r="AZ1121" s="3" t="s">
        <v>75</v>
      </c>
      <c r="BC1121" s="3" t="s">
        <v>12792</v>
      </c>
      <c r="BD1121" s="3" t="s">
        <v>12793</v>
      </c>
    </row>
    <row r="1122" spans="1:56" ht="44.25" customHeight="1" x14ac:dyDescent="0.25">
      <c r="A1122" s="7" t="s">
        <v>61</v>
      </c>
      <c r="B1122" s="2" t="s">
        <v>12794</v>
      </c>
      <c r="C1122" s="2" t="s">
        <v>12795</v>
      </c>
      <c r="D1122" s="2" t="s">
        <v>12796</v>
      </c>
      <c r="F1122" s="3" t="s">
        <v>61</v>
      </c>
      <c r="G1122" s="3" t="s">
        <v>60</v>
      </c>
      <c r="H1122" s="3" t="s">
        <v>61</v>
      </c>
      <c r="I1122" s="3" t="s">
        <v>61</v>
      </c>
      <c r="J1122" s="3" t="s">
        <v>62</v>
      </c>
      <c r="K1122" s="2" t="s">
        <v>12797</v>
      </c>
      <c r="L1122" s="2" t="s">
        <v>12798</v>
      </c>
      <c r="M1122" s="3" t="s">
        <v>291</v>
      </c>
      <c r="N1122" s="2" t="s">
        <v>634</v>
      </c>
      <c r="O1122" s="3" t="s">
        <v>114</v>
      </c>
      <c r="P1122" s="3" t="s">
        <v>235</v>
      </c>
      <c r="R1122" s="3" t="s">
        <v>68</v>
      </c>
      <c r="S1122" s="4">
        <v>6</v>
      </c>
      <c r="T1122" s="4">
        <v>6</v>
      </c>
      <c r="U1122" s="5" t="s">
        <v>1760</v>
      </c>
      <c r="V1122" s="5" t="s">
        <v>1760</v>
      </c>
      <c r="W1122" s="5" t="s">
        <v>12292</v>
      </c>
      <c r="X1122" s="5" t="s">
        <v>12292</v>
      </c>
      <c r="Y1122" s="4">
        <v>1241</v>
      </c>
      <c r="Z1122" s="4">
        <v>1102</v>
      </c>
      <c r="AA1122" s="4">
        <v>1481</v>
      </c>
      <c r="AB1122" s="4">
        <v>7</v>
      </c>
      <c r="AC1122" s="4">
        <v>8</v>
      </c>
      <c r="AD1122" s="4">
        <v>32</v>
      </c>
      <c r="AE1122" s="4">
        <v>45</v>
      </c>
      <c r="AF1122" s="4">
        <v>16</v>
      </c>
      <c r="AG1122" s="4">
        <v>23</v>
      </c>
      <c r="AH1122" s="4">
        <v>6</v>
      </c>
      <c r="AI1122" s="4">
        <v>9</v>
      </c>
      <c r="AJ1122" s="4">
        <v>13</v>
      </c>
      <c r="AK1122" s="4">
        <v>18</v>
      </c>
      <c r="AL1122" s="4">
        <v>6</v>
      </c>
      <c r="AM1122" s="4">
        <v>6</v>
      </c>
      <c r="AN1122" s="4">
        <v>0</v>
      </c>
      <c r="AO1122" s="4">
        <v>0</v>
      </c>
      <c r="AP1122" s="3" t="s">
        <v>61</v>
      </c>
      <c r="AQ1122" s="3" t="s">
        <v>59</v>
      </c>
      <c r="AR1122" s="6" t="str">
        <f>HYPERLINK("http://catalog.hathitrust.org/Record/000099345","HathiTrust Record")</f>
        <v>HathiTrust Record</v>
      </c>
      <c r="AS1122" s="6" t="str">
        <f>HYPERLINK("https://creighton-primo.hosted.exlibrisgroup.com/primo-explore/search?tab=default_tab&amp;search_scope=EVERYTHING&amp;vid=01CRU&amp;lang=en_US&amp;offset=0&amp;query=any,contains,991005032829702656","Catalog Record")</f>
        <v>Catalog Record</v>
      </c>
      <c r="AT1122" s="6" t="str">
        <f>HYPERLINK("http://www.worldcat.org/oclc/6735029","WorldCat Record")</f>
        <v>WorldCat Record</v>
      </c>
      <c r="AU1122" s="3" t="s">
        <v>12799</v>
      </c>
      <c r="AV1122" s="3" t="s">
        <v>12800</v>
      </c>
      <c r="AW1122" s="3" t="s">
        <v>12801</v>
      </c>
      <c r="AX1122" s="3" t="s">
        <v>12801</v>
      </c>
      <c r="AY1122" s="3" t="s">
        <v>12802</v>
      </c>
      <c r="AZ1122" s="3" t="s">
        <v>75</v>
      </c>
      <c r="BB1122" s="3" t="s">
        <v>12803</v>
      </c>
      <c r="BC1122" s="3" t="s">
        <v>12804</v>
      </c>
      <c r="BD1122" s="3" t="s">
        <v>12805</v>
      </c>
    </row>
    <row r="1123" spans="1:56" ht="44.25" customHeight="1" x14ac:dyDescent="0.25">
      <c r="A1123" s="7" t="s">
        <v>61</v>
      </c>
      <c r="B1123" s="2" t="s">
        <v>12806</v>
      </c>
      <c r="C1123" s="2" t="s">
        <v>12807</v>
      </c>
      <c r="D1123" s="2" t="s">
        <v>12808</v>
      </c>
      <c r="F1123" s="3" t="s">
        <v>61</v>
      </c>
      <c r="G1123" s="3" t="s">
        <v>60</v>
      </c>
      <c r="H1123" s="3" t="s">
        <v>61</v>
      </c>
      <c r="I1123" s="3" t="s">
        <v>61</v>
      </c>
      <c r="J1123" s="3" t="s">
        <v>62</v>
      </c>
      <c r="K1123" s="2" t="s">
        <v>12809</v>
      </c>
      <c r="L1123" s="2" t="s">
        <v>12810</v>
      </c>
      <c r="M1123" s="3" t="s">
        <v>113</v>
      </c>
      <c r="O1123" s="3" t="s">
        <v>114</v>
      </c>
      <c r="P1123" s="3" t="s">
        <v>1494</v>
      </c>
      <c r="Q1123" s="2" t="s">
        <v>12811</v>
      </c>
      <c r="R1123" s="3" t="s">
        <v>68</v>
      </c>
      <c r="S1123" s="4">
        <v>4</v>
      </c>
      <c r="T1123" s="4">
        <v>4</v>
      </c>
      <c r="U1123" s="5" t="s">
        <v>4616</v>
      </c>
      <c r="V1123" s="5" t="s">
        <v>4616</v>
      </c>
      <c r="W1123" s="5" t="s">
        <v>12200</v>
      </c>
      <c r="X1123" s="5" t="s">
        <v>12200</v>
      </c>
      <c r="Y1123" s="4">
        <v>837</v>
      </c>
      <c r="Z1123" s="4">
        <v>717</v>
      </c>
      <c r="AA1123" s="4">
        <v>857</v>
      </c>
      <c r="AB1123" s="4">
        <v>6</v>
      </c>
      <c r="AC1123" s="4">
        <v>6</v>
      </c>
      <c r="AD1123" s="4">
        <v>34</v>
      </c>
      <c r="AE1123" s="4">
        <v>37</v>
      </c>
      <c r="AF1123" s="4">
        <v>12</v>
      </c>
      <c r="AG1123" s="4">
        <v>15</v>
      </c>
      <c r="AH1123" s="4">
        <v>8</v>
      </c>
      <c r="AI1123" s="4">
        <v>8</v>
      </c>
      <c r="AJ1123" s="4">
        <v>16</v>
      </c>
      <c r="AK1123" s="4">
        <v>17</v>
      </c>
      <c r="AL1123" s="4">
        <v>5</v>
      </c>
      <c r="AM1123" s="4">
        <v>5</v>
      </c>
      <c r="AN1123" s="4">
        <v>0</v>
      </c>
      <c r="AO1123" s="4">
        <v>0</v>
      </c>
      <c r="AP1123" s="3" t="s">
        <v>61</v>
      </c>
      <c r="AQ1123" s="3" t="s">
        <v>59</v>
      </c>
      <c r="AR1123" s="6" t="str">
        <f>HYPERLINK("http://catalog.hathitrust.org/Record/000812930","HathiTrust Record")</f>
        <v>HathiTrust Record</v>
      </c>
      <c r="AS1123" s="6" t="str">
        <f>HYPERLINK("https://creighton-primo.hosted.exlibrisgroup.com/primo-explore/search?tab=default_tab&amp;search_scope=EVERYTHING&amp;vid=01CRU&amp;lang=en_US&amp;offset=0&amp;query=any,contains,991002676459702656","Catalog Record")</f>
        <v>Catalog Record</v>
      </c>
      <c r="AT1123" s="6" t="str">
        <f>HYPERLINK("http://www.worldcat.org/oclc/397134","WorldCat Record")</f>
        <v>WorldCat Record</v>
      </c>
      <c r="AU1123" s="3" t="s">
        <v>12812</v>
      </c>
      <c r="AV1123" s="3" t="s">
        <v>12813</v>
      </c>
      <c r="AW1123" s="3" t="s">
        <v>12814</v>
      </c>
      <c r="AX1123" s="3" t="s">
        <v>12814</v>
      </c>
      <c r="AY1123" s="3" t="s">
        <v>12815</v>
      </c>
      <c r="AZ1123" s="3" t="s">
        <v>75</v>
      </c>
      <c r="BC1123" s="3" t="s">
        <v>12816</v>
      </c>
      <c r="BD1123" s="3" t="s">
        <v>12817</v>
      </c>
    </row>
    <row r="1124" spans="1:56" ht="44.25" customHeight="1" x14ac:dyDescent="0.25">
      <c r="A1124" s="7" t="s">
        <v>61</v>
      </c>
      <c r="B1124" s="2" t="s">
        <v>12818</v>
      </c>
      <c r="C1124" s="2" t="s">
        <v>12819</v>
      </c>
      <c r="D1124" s="2" t="s">
        <v>12820</v>
      </c>
      <c r="F1124" s="3" t="s">
        <v>61</v>
      </c>
      <c r="G1124" s="3" t="s">
        <v>60</v>
      </c>
      <c r="H1124" s="3" t="s">
        <v>61</v>
      </c>
      <c r="I1124" s="3" t="s">
        <v>61</v>
      </c>
      <c r="J1124" s="3" t="s">
        <v>62</v>
      </c>
      <c r="K1124" s="2" t="s">
        <v>12821</v>
      </c>
      <c r="L1124" s="2" t="s">
        <v>12822</v>
      </c>
      <c r="M1124" s="3" t="s">
        <v>263</v>
      </c>
      <c r="O1124" s="3" t="s">
        <v>114</v>
      </c>
      <c r="P1124" s="3" t="s">
        <v>115</v>
      </c>
      <c r="R1124" s="3" t="s">
        <v>68</v>
      </c>
      <c r="S1124" s="4">
        <v>2</v>
      </c>
      <c r="T1124" s="4">
        <v>2</v>
      </c>
      <c r="U1124" s="5" t="s">
        <v>12750</v>
      </c>
      <c r="V1124" s="5" t="s">
        <v>12750</v>
      </c>
      <c r="W1124" s="5" t="s">
        <v>1481</v>
      </c>
      <c r="X1124" s="5" t="s">
        <v>1481</v>
      </c>
      <c r="Y1124" s="4">
        <v>300</v>
      </c>
      <c r="Z1124" s="4">
        <v>235</v>
      </c>
      <c r="AA1124" s="4">
        <v>236</v>
      </c>
      <c r="AB1124" s="4">
        <v>4</v>
      </c>
      <c r="AC1124" s="4">
        <v>4</v>
      </c>
      <c r="AD1124" s="4">
        <v>16</v>
      </c>
      <c r="AE1124" s="4">
        <v>16</v>
      </c>
      <c r="AF1124" s="4">
        <v>5</v>
      </c>
      <c r="AG1124" s="4">
        <v>5</v>
      </c>
      <c r="AH1124" s="4">
        <v>6</v>
      </c>
      <c r="AI1124" s="4">
        <v>6</v>
      </c>
      <c r="AJ1124" s="4">
        <v>6</v>
      </c>
      <c r="AK1124" s="4">
        <v>6</v>
      </c>
      <c r="AL1124" s="4">
        <v>3</v>
      </c>
      <c r="AM1124" s="4">
        <v>3</v>
      </c>
      <c r="AN1124" s="4">
        <v>0</v>
      </c>
      <c r="AO1124" s="4">
        <v>0</v>
      </c>
      <c r="AP1124" s="3" t="s">
        <v>61</v>
      </c>
      <c r="AQ1124" s="3" t="s">
        <v>59</v>
      </c>
      <c r="AR1124" s="6" t="str">
        <f>HYPERLINK("http://catalog.hathitrust.org/Record/000271795","HathiTrust Record")</f>
        <v>HathiTrust Record</v>
      </c>
      <c r="AS1124" s="6" t="str">
        <f>HYPERLINK("https://creighton-primo.hosted.exlibrisgroup.com/primo-explore/search?tab=default_tab&amp;search_scope=EVERYTHING&amp;vid=01CRU&amp;lang=en_US&amp;offset=0&amp;query=any,contains,991005248159702656","Catalog Record")</f>
        <v>Catalog Record</v>
      </c>
      <c r="AT1124" s="6" t="str">
        <f>HYPERLINK("http://www.worldcat.org/oclc/8475217","WorldCat Record")</f>
        <v>WorldCat Record</v>
      </c>
      <c r="AU1124" s="3" t="s">
        <v>12823</v>
      </c>
      <c r="AV1124" s="3" t="s">
        <v>12824</v>
      </c>
      <c r="AW1124" s="3" t="s">
        <v>12825</v>
      </c>
      <c r="AX1124" s="3" t="s">
        <v>12825</v>
      </c>
      <c r="AY1124" s="3" t="s">
        <v>12826</v>
      </c>
      <c r="AZ1124" s="3" t="s">
        <v>75</v>
      </c>
      <c r="BB1124" s="3" t="s">
        <v>12827</v>
      </c>
      <c r="BC1124" s="3" t="s">
        <v>12828</v>
      </c>
      <c r="BD1124" s="3" t="s">
        <v>12829</v>
      </c>
    </row>
    <row r="1125" spans="1:56" ht="44.25" customHeight="1" x14ac:dyDescent="0.25">
      <c r="A1125" s="7" t="s">
        <v>61</v>
      </c>
      <c r="B1125" s="2" t="s">
        <v>12830</v>
      </c>
      <c r="C1125" s="2" t="s">
        <v>12831</v>
      </c>
      <c r="D1125" s="2" t="s">
        <v>12832</v>
      </c>
      <c r="F1125" s="3" t="s">
        <v>61</v>
      </c>
      <c r="G1125" s="3" t="s">
        <v>60</v>
      </c>
      <c r="H1125" s="3" t="s">
        <v>61</v>
      </c>
      <c r="I1125" s="3" t="s">
        <v>61</v>
      </c>
      <c r="J1125" s="3" t="s">
        <v>62</v>
      </c>
      <c r="K1125" s="2" t="s">
        <v>12833</v>
      </c>
      <c r="L1125" s="2" t="s">
        <v>12834</v>
      </c>
      <c r="M1125" s="3" t="s">
        <v>1507</v>
      </c>
      <c r="O1125" s="3" t="s">
        <v>114</v>
      </c>
      <c r="P1125" s="3" t="s">
        <v>235</v>
      </c>
      <c r="R1125" s="3" t="s">
        <v>68</v>
      </c>
      <c r="S1125" s="4">
        <v>2</v>
      </c>
      <c r="T1125" s="4">
        <v>2</v>
      </c>
      <c r="U1125" s="5" t="s">
        <v>12626</v>
      </c>
      <c r="V1125" s="5" t="s">
        <v>12626</v>
      </c>
      <c r="W1125" s="5" t="s">
        <v>12200</v>
      </c>
      <c r="X1125" s="5" t="s">
        <v>12200</v>
      </c>
      <c r="Y1125" s="4">
        <v>359</v>
      </c>
      <c r="Z1125" s="4">
        <v>325</v>
      </c>
      <c r="AA1125" s="4">
        <v>328</v>
      </c>
      <c r="AB1125" s="4">
        <v>3</v>
      </c>
      <c r="AC1125" s="4">
        <v>3</v>
      </c>
      <c r="AD1125" s="4">
        <v>8</v>
      </c>
      <c r="AE1125" s="4">
        <v>8</v>
      </c>
      <c r="AF1125" s="4">
        <v>1</v>
      </c>
      <c r="AG1125" s="4">
        <v>1</v>
      </c>
      <c r="AH1125" s="4">
        <v>2</v>
      </c>
      <c r="AI1125" s="4">
        <v>2</v>
      </c>
      <c r="AJ1125" s="4">
        <v>6</v>
      </c>
      <c r="AK1125" s="4">
        <v>6</v>
      </c>
      <c r="AL1125" s="4">
        <v>1</v>
      </c>
      <c r="AM1125" s="4">
        <v>1</v>
      </c>
      <c r="AN1125" s="4">
        <v>0</v>
      </c>
      <c r="AO1125" s="4">
        <v>0</v>
      </c>
      <c r="AP1125" s="3" t="s">
        <v>61</v>
      </c>
      <c r="AQ1125" s="3" t="s">
        <v>59</v>
      </c>
      <c r="AR1125" s="6" t="str">
        <f>HYPERLINK("http://catalog.hathitrust.org/Record/000808714","HathiTrust Record")</f>
        <v>HathiTrust Record</v>
      </c>
      <c r="AS1125" s="6" t="str">
        <f>HYPERLINK("https://creighton-primo.hosted.exlibrisgroup.com/primo-explore/search?tab=default_tab&amp;search_scope=EVERYTHING&amp;vid=01CRU&amp;lang=en_US&amp;offset=0&amp;query=any,contains,991003336989702656","Catalog Record")</f>
        <v>Catalog Record</v>
      </c>
      <c r="AT1125" s="6" t="str">
        <f>HYPERLINK("http://www.worldcat.org/oclc/867545","WorldCat Record")</f>
        <v>WorldCat Record</v>
      </c>
      <c r="AU1125" s="3" t="s">
        <v>12835</v>
      </c>
      <c r="AV1125" s="3" t="s">
        <v>12836</v>
      </c>
      <c r="AW1125" s="3" t="s">
        <v>12837</v>
      </c>
      <c r="AX1125" s="3" t="s">
        <v>12837</v>
      </c>
      <c r="AY1125" s="3" t="s">
        <v>12838</v>
      </c>
      <c r="AZ1125" s="3" t="s">
        <v>75</v>
      </c>
      <c r="BB1125" s="3" t="s">
        <v>12839</v>
      </c>
      <c r="BC1125" s="3" t="s">
        <v>12840</v>
      </c>
      <c r="BD1125" s="3" t="s">
        <v>12841</v>
      </c>
    </row>
    <row r="1126" spans="1:56" ht="44.25" customHeight="1" x14ac:dyDescent="0.25">
      <c r="A1126" s="7" t="s">
        <v>61</v>
      </c>
      <c r="B1126" s="2" t="s">
        <v>12842</v>
      </c>
      <c r="C1126" s="2" t="s">
        <v>12843</v>
      </c>
      <c r="D1126" s="2" t="s">
        <v>12844</v>
      </c>
      <c r="F1126" s="3" t="s">
        <v>61</v>
      </c>
      <c r="G1126" s="3" t="s">
        <v>60</v>
      </c>
      <c r="H1126" s="3" t="s">
        <v>61</v>
      </c>
      <c r="I1126" s="3" t="s">
        <v>61</v>
      </c>
      <c r="J1126" s="3" t="s">
        <v>62</v>
      </c>
      <c r="K1126" s="2" t="s">
        <v>12845</v>
      </c>
      <c r="L1126" s="2" t="s">
        <v>12846</v>
      </c>
      <c r="M1126" s="3" t="s">
        <v>1571</v>
      </c>
      <c r="N1126" s="2" t="s">
        <v>306</v>
      </c>
      <c r="O1126" s="3" t="s">
        <v>114</v>
      </c>
      <c r="P1126" s="3" t="s">
        <v>115</v>
      </c>
      <c r="R1126" s="3" t="s">
        <v>68</v>
      </c>
      <c r="S1126" s="4">
        <v>2</v>
      </c>
      <c r="T1126" s="4">
        <v>2</v>
      </c>
      <c r="U1126" s="5" t="s">
        <v>12095</v>
      </c>
      <c r="V1126" s="5" t="s">
        <v>12095</v>
      </c>
      <c r="W1126" s="5" t="s">
        <v>12200</v>
      </c>
      <c r="X1126" s="5" t="s">
        <v>12200</v>
      </c>
      <c r="Y1126" s="4">
        <v>760</v>
      </c>
      <c r="Z1126" s="4">
        <v>694</v>
      </c>
      <c r="AA1126" s="4">
        <v>708</v>
      </c>
      <c r="AB1126" s="4">
        <v>6</v>
      </c>
      <c r="AC1126" s="4">
        <v>6</v>
      </c>
      <c r="AD1126" s="4">
        <v>30</v>
      </c>
      <c r="AE1126" s="4">
        <v>32</v>
      </c>
      <c r="AF1126" s="4">
        <v>9</v>
      </c>
      <c r="AG1126" s="4">
        <v>10</v>
      </c>
      <c r="AH1126" s="4">
        <v>5</v>
      </c>
      <c r="AI1126" s="4">
        <v>5</v>
      </c>
      <c r="AJ1126" s="4">
        <v>17</v>
      </c>
      <c r="AK1126" s="4">
        <v>18</v>
      </c>
      <c r="AL1126" s="4">
        <v>4</v>
      </c>
      <c r="AM1126" s="4">
        <v>4</v>
      </c>
      <c r="AN1126" s="4">
        <v>1</v>
      </c>
      <c r="AO1126" s="4">
        <v>1</v>
      </c>
      <c r="AP1126" s="3" t="s">
        <v>59</v>
      </c>
      <c r="AQ1126" s="3" t="s">
        <v>61</v>
      </c>
      <c r="AR1126" s="6" t="str">
        <f>HYPERLINK("http://catalog.hathitrust.org/Record/000808929","HathiTrust Record")</f>
        <v>HathiTrust Record</v>
      </c>
      <c r="AS1126" s="6" t="str">
        <f>HYPERLINK("https://creighton-primo.hosted.exlibrisgroup.com/primo-explore/search?tab=default_tab&amp;search_scope=EVERYTHING&amp;vid=01CRU&amp;lang=en_US&amp;offset=0&amp;query=any,contains,991002669059702656","Catalog Record")</f>
        <v>Catalog Record</v>
      </c>
      <c r="AT1126" s="6" t="str">
        <f>HYPERLINK("http://www.worldcat.org/oclc/394518","WorldCat Record")</f>
        <v>WorldCat Record</v>
      </c>
      <c r="AU1126" s="3" t="s">
        <v>12847</v>
      </c>
      <c r="AV1126" s="3" t="s">
        <v>12848</v>
      </c>
      <c r="AW1126" s="3" t="s">
        <v>12849</v>
      </c>
      <c r="AX1126" s="3" t="s">
        <v>12849</v>
      </c>
      <c r="AY1126" s="3" t="s">
        <v>12850</v>
      </c>
      <c r="AZ1126" s="3" t="s">
        <v>75</v>
      </c>
      <c r="BC1126" s="3" t="s">
        <v>12851</v>
      </c>
      <c r="BD1126" s="3" t="s">
        <v>12852</v>
      </c>
    </row>
    <row r="1127" spans="1:56" ht="44.25" customHeight="1" x14ac:dyDescent="0.25">
      <c r="A1127" s="7" t="s">
        <v>61</v>
      </c>
      <c r="B1127" s="2" t="s">
        <v>12853</v>
      </c>
      <c r="C1127" s="2" t="s">
        <v>12854</v>
      </c>
      <c r="D1127" s="2" t="s">
        <v>12855</v>
      </c>
      <c r="F1127" s="3" t="s">
        <v>61</v>
      </c>
      <c r="G1127" s="3" t="s">
        <v>60</v>
      </c>
      <c r="H1127" s="3" t="s">
        <v>61</v>
      </c>
      <c r="I1127" s="3" t="s">
        <v>61</v>
      </c>
      <c r="J1127" s="3" t="s">
        <v>62</v>
      </c>
      <c r="L1127" s="2" t="s">
        <v>4269</v>
      </c>
      <c r="M1127" s="3" t="s">
        <v>1465</v>
      </c>
      <c r="O1127" s="3" t="s">
        <v>114</v>
      </c>
      <c r="P1127" s="3" t="s">
        <v>235</v>
      </c>
      <c r="R1127" s="3" t="s">
        <v>68</v>
      </c>
      <c r="S1127" s="4">
        <v>6</v>
      </c>
      <c r="T1127" s="4">
        <v>6</v>
      </c>
      <c r="U1127" s="5" t="s">
        <v>12856</v>
      </c>
      <c r="V1127" s="5" t="s">
        <v>12856</v>
      </c>
      <c r="W1127" s="5" t="s">
        <v>12857</v>
      </c>
      <c r="X1127" s="5" t="s">
        <v>12857</v>
      </c>
      <c r="Y1127" s="4">
        <v>205</v>
      </c>
      <c r="Z1127" s="4">
        <v>115</v>
      </c>
      <c r="AA1127" s="4">
        <v>117</v>
      </c>
      <c r="AB1127" s="4">
        <v>1</v>
      </c>
      <c r="AC1127" s="4">
        <v>1</v>
      </c>
      <c r="AD1127" s="4">
        <v>9</v>
      </c>
      <c r="AE1127" s="4">
        <v>9</v>
      </c>
      <c r="AF1127" s="4">
        <v>5</v>
      </c>
      <c r="AG1127" s="4">
        <v>5</v>
      </c>
      <c r="AH1127" s="4">
        <v>4</v>
      </c>
      <c r="AI1127" s="4">
        <v>4</v>
      </c>
      <c r="AJ1127" s="4">
        <v>5</v>
      </c>
      <c r="AK1127" s="4">
        <v>5</v>
      </c>
      <c r="AL1127" s="4">
        <v>0</v>
      </c>
      <c r="AM1127" s="4">
        <v>0</v>
      </c>
      <c r="AN1127" s="4">
        <v>0</v>
      </c>
      <c r="AO1127" s="4">
        <v>0</v>
      </c>
      <c r="AP1127" s="3" t="s">
        <v>61</v>
      </c>
      <c r="AQ1127" s="3" t="s">
        <v>59</v>
      </c>
      <c r="AR1127" s="6" t="str">
        <f>HYPERLINK("http://catalog.hathitrust.org/Record/007959071","HathiTrust Record")</f>
        <v>HathiTrust Record</v>
      </c>
      <c r="AS1127" s="6" t="str">
        <f>HYPERLINK("https://creighton-primo.hosted.exlibrisgroup.com/primo-explore/search?tab=default_tab&amp;search_scope=EVERYTHING&amp;vid=01CRU&amp;lang=en_US&amp;offset=0&amp;query=any,contains,991001741849702656","Catalog Record")</f>
        <v>Catalog Record</v>
      </c>
      <c r="AT1127" s="6" t="str">
        <f>HYPERLINK("http://www.worldcat.org/oclc/22005449","WorldCat Record")</f>
        <v>WorldCat Record</v>
      </c>
      <c r="AU1127" s="3" t="s">
        <v>12858</v>
      </c>
      <c r="AV1127" s="3" t="s">
        <v>12859</v>
      </c>
      <c r="AW1127" s="3" t="s">
        <v>12860</v>
      </c>
      <c r="AX1127" s="3" t="s">
        <v>12860</v>
      </c>
      <c r="AY1127" s="3" t="s">
        <v>12861</v>
      </c>
      <c r="AZ1127" s="3" t="s">
        <v>75</v>
      </c>
      <c r="BB1127" s="3" t="s">
        <v>12862</v>
      </c>
      <c r="BC1127" s="3" t="s">
        <v>12863</v>
      </c>
      <c r="BD1127" s="3" t="s">
        <v>12864</v>
      </c>
    </row>
    <row r="1128" spans="1:56" ht="44.25" customHeight="1" x14ac:dyDescent="0.25">
      <c r="A1128" s="7" t="s">
        <v>61</v>
      </c>
      <c r="B1128" s="2" t="s">
        <v>12865</v>
      </c>
      <c r="C1128" s="2" t="s">
        <v>12866</v>
      </c>
      <c r="D1128" s="2" t="s">
        <v>12867</v>
      </c>
      <c r="F1128" s="3" t="s">
        <v>61</v>
      </c>
      <c r="G1128" s="3" t="s">
        <v>60</v>
      </c>
      <c r="H1128" s="3" t="s">
        <v>61</v>
      </c>
      <c r="I1128" s="3" t="s">
        <v>61</v>
      </c>
      <c r="J1128" s="3" t="s">
        <v>62</v>
      </c>
      <c r="K1128" s="2" t="s">
        <v>12868</v>
      </c>
      <c r="L1128" s="2" t="s">
        <v>12869</v>
      </c>
      <c r="M1128" s="3" t="s">
        <v>796</v>
      </c>
      <c r="O1128" s="3" t="s">
        <v>114</v>
      </c>
      <c r="P1128" s="3" t="s">
        <v>235</v>
      </c>
      <c r="R1128" s="3" t="s">
        <v>68</v>
      </c>
      <c r="S1128" s="4">
        <v>2</v>
      </c>
      <c r="T1128" s="4">
        <v>2</v>
      </c>
      <c r="U1128" s="5" t="s">
        <v>680</v>
      </c>
      <c r="V1128" s="5" t="s">
        <v>680</v>
      </c>
      <c r="W1128" s="5" t="s">
        <v>12512</v>
      </c>
      <c r="X1128" s="5" t="s">
        <v>12512</v>
      </c>
      <c r="Y1128" s="4">
        <v>307</v>
      </c>
      <c r="Z1128" s="4">
        <v>273</v>
      </c>
      <c r="AA1128" s="4">
        <v>313</v>
      </c>
      <c r="AB1128" s="4">
        <v>1</v>
      </c>
      <c r="AC1128" s="4">
        <v>1</v>
      </c>
      <c r="AD1128" s="4">
        <v>13</v>
      </c>
      <c r="AE1128" s="4">
        <v>15</v>
      </c>
      <c r="AF1128" s="4">
        <v>4</v>
      </c>
      <c r="AG1128" s="4">
        <v>4</v>
      </c>
      <c r="AH1128" s="4">
        <v>5</v>
      </c>
      <c r="AI1128" s="4">
        <v>7</v>
      </c>
      <c r="AJ1128" s="4">
        <v>5</v>
      </c>
      <c r="AK1128" s="4">
        <v>7</v>
      </c>
      <c r="AL1128" s="4">
        <v>0</v>
      </c>
      <c r="AM1128" s="4">
        <v>0</v>
      </c>
      <c r="AN1128" s="4">
        <v>0</v>
      </c>
      <c r="AO1128" s="4">
        <v>0</v>
      </c>
      <c r="AP1128" s="3" t="s">
        <v>61</v>
      </c>
      <c r="AQ1128" s="3" t="s">
        <v>61</v>
      </c>
      <c r="AS1128" s="6" t="str">
        <f>HYPERLINK("https://creighton-primo.hosted.exlibrisgroup.com/primo-explore/search?tab=default_tab&amp;search_scope=EVERYTHING&amp;vid=01CRU&amp;lang=en_US&amp;offset=0&amp;query=any,contains,991001250999702656","Catalog Record")</f>
        <v>Catalog Record</v>
      </c>
      <c r="AT1128" s="6" t="str">
        <f>HYPERLINK("http://www.worldcat.org/oclc/17676568","WorldCat Record")</f>
        <v>WorldCat Record</v>
      </c>
      <c r="AU1128" s="3" t="s">
        <v>12870</v>
      </c>
      <c r="AV1128" s="3" t="s">
        <v>12871</v>
      </c>
      <c r="AW1128" s="3" t="s">
        <v>12872</v>
      </c>
      <c r="AX1128" s="3" t="s">
        <v>12872</v>
      </c>
      <c r="AY1128" s="3" t="s">
        <v>12873</v>
      </c>
      <c r="AZ1128" s="3" t="s">
        <v>75</v>
      </c>
      <c r="BB1128" s="3" t="s">
        <v>12874</v>
      </c>
      <c r="BC1128" s="3" t="s">
        <v>12875</v>
      </c>
      <c r="BD1128" s="3" t="s">
        <v>12876</v>
      </c>
    </row>
    <row r="1129" spans="1:56" ht="44.25" customHeight="1" x14ac:dyDescent="0.25">
      <c r="A1129" s="7" t="s">
        <v>61</v>
      </c>
      <c r="B1129" s="2" t="s">
        <v>12877</v>
      </c>
      <c r="C1129" s="2" t="s">
        <v>12878</v>
      </c>
      <c r="D1129" s="2" t="s">
        <v>12879</v>
      </c>
      <c r="F1129" s="3" t="s">
        <v>61</v>
      </c>
      <c r="G1129" s="3" t="s">
        <v>60</v>
      </c>
      <c r="H1129" s="3" t="s">
        <v>61</v>
      </c>
      <c r="I1129" s="3" t="s">
        <v>61</v>
      </c>
      <c r="J1129" s="3" t="s">
        <v>62</v>
      </c>
      <c r="K1129" s="2" t="s">
        <v>12880</v>
      </c>
      <c r="L1129" s="2" t="s">
        <v>12881</v>
      </c>
      <c r="M1129" s="3" t="s">
        <v>579</v>
      </c>
      <c r="O1129" s="3" t="s">
        <v>114</v>
      </c>
      <c r="P1129" s="3" t="s">
        <v>2982</v>
      </c>
      <c r="R1129" s="3" t="s">
        <v>68</v>
      </c>
      <c r="S1129" s="4">
        <v>2</v>
      </c>
      <c r="T1129" s="4">
        <v>2</v>
      </c>
      <c r="U1129" s="5" t="s">
        <v>680</v>
      </c>
      <c r="V1129" s="5" t="s">
        <v>680</v>
      </c>
      <c r="W1129" s="5" t="s">
        <v>11145</v>
      </c>
      <c r="X1129" s="5" t="s">
        <v>11145</v>
      </c>
      <c r="Y1129" s="4">
        <v>455</v>
      </c>
      <c r="Z1129" s="4">
        <v>344</v>
      </c>
      <c r="AA1129" s="4">
        <v>592</v>
      </c>
      <c r="AB1129" s="4">
        <v>4</v>
      </c>
      <c r="AC1129" s="4">
        <v>6</v>
      </c>
      <c r="AD1129" s="4">
        <v>15</v>
      </c>
      <c r="AE1129" s="4">
        <v>24</v>
      </c>
      <c r="AF1129" s="4">
        <v>4</v>
      </c>
      <c r="AG1129" s="4">
        <v>5</v>
      </c>
      <c r="AH1129" s="4">
        <v>4</v>
      </c>
      <c r="AI1129" s="4">
        <v>6</v>
      </c>
      <c r="AJ1129" s="4">
        <v>8</v>
      </c>
      <c r="AK1129" s="4">
        <v>13</v>
      </c>
      <c r="AL1129" s="4">
        <v>3</v>
      </c>
      <c r="AM1129" s="4">
        <v>5</v>
      </c>
      <c r="AN1129" s="4">
        <v>0</v>
      </c>
      <c r="AO1129" s="4">
        <v>0</v>
      </c>
      <c r="AP1129" s="3" t="s">
        <v>61</v>
      </c>
      <c r="AQ1129" s="3" t="s">
        <v>59</v>
      </c>
      <c r="AR1129" s="6" t="str">
        <f>HYPERLINK("http://catalog.hathitrust.org/Record/000868688","HathiTrust Record")</f>
        <v>HathiTrust Record</v>
      </c>
      <c r="AS1129" s="6" t="str">
        <f>HYPERLINK("https://creighton-primo.hosted.exlibrisgroup.com/primo-explore/search?tab=default_tab&amp;search_scope=EVERYTHING&amp;vid=01CRU&amp;lang=en_US&amp;offset=0&amp;query=any,contains,991001433599702656","Catalog Record")</f>
        <v>Catalog Record</v>
      </c>
      <c r="AT1129" s="6" t="str">
        <f>HYPERLINK("http://www.worldcat.org/oclc/19125468","WorldCat Record")</f>
        <v>WorldCat Record</v>
      </c>
      <c r="AU1129" s="3" t="s">
        <v>12882</v>
      </c>
      <c r="AV1129" s="3" t="s">
        <v>12883</v>
      </c>
      <c r="AW1129" s="3" t="s">
        <v>12884</v>
      </c>
      <c r="AX1129" s="3" t="s">
        <v>12884</v>
      </c>
      <c r="AY1129" s="3" t="s">
        <v>12885</v>
      </c>
      <c r="AZ1129" s="3" t="s">
        <v>75</v>
      </c>
      <c r="BB1129" s="3" t="s">
        <v>12886</v>
      </c>
      <c r="BC1129" s="3" t="s">
        <v>12887</v>
      </c>
      <c r="BD1129" s="3" t="s">
        <v>12888</v>
      </c>
    </row>
    <row r="1130" spans="1:56" ht="44.25" customHeight="1" x14ac:dyDescent="0.25">
      <c r="A1130" s="7" t="s">
        <v>61</v>
      </c>
      <c r="B1130" s="2" t="s">
        <v>12889</v>
      </c>
      <c r="C1130" s="2" t="s">
        <v>12890</v>
      </c>
      <c r="D1130" s="2" t="s">
        <v>12891</v>
      </c>
      <c r="F1130" s="3" t="s">
        <v>61</v>
      </c>
      <c r="G1130" s="3" t="s">
        <v>60</v>
      </c>
      <c r="H1130" s="3" t="s">
        <v>61</v>
      </c>
      <c r="I1130" s="3" t="s">
        <v>61</v>
      </c>
      <c r="J1130" s="3" t="s">
        <v>62</v>
      </c>
      <c r="K1130" s="2" t="s">
        <v>4163</v>
      </c>
      <c r="L1130" s="2" t="s">
        <v>12892</v>
      </c>
      <c r="M1130" s="3" t="s">
        <v>1758</v>
      </c>
      <c r="O1130" s="3" t="s">
        <v>114</v>
      </c>
      <c r="P1130" s="3" t="s">
        <v>192</v>
      </c>
      <c r="R1130" s="3" t="s">
        <v>68</v>
      </c>
      <c r="S1130" s="4">
        <v>9</v>
      </c>
      <c r="T1130" s="4">
        <v>9</v>
      </c>
      <c r="U1130" s="5" t="s">
        <v>12893</v>
      </c>
      <c r="V1130" s="5" t="s">
        <v>12893</v>
      </c>
      <c r="W1130" s="5" t="s">
        <v>12292</v>
      </c>
      <c r="X1130" s="5" t="s">
        <v>12292</v>
      </c>
      <c r="Y1130" s="4">
        <v>917</v>
      </c>
      <c r="Z1130" s="4">
        <v>735</v>
      </c>
      <c r="AA1130" s="4">
        <v>749</v>
      </c>
      <c r="AB1130" s="4">
        <v>5</v>
      </c>
      <c r="AC1130" s="4">
        <v>5</v>
      </c>
      <c r="AD1130" s="4">
        <v>33</v>
      </c>
      <c r="AE1130" s="4">
        <v>34</v>
      </c>
      <c r="AF1130" s="4">
        <v>15</v>
      </c>
      <c r="AG1130" s="4">
        <v>16</v>
      </c>
      <c r="AH1130" s="4">
        <v>7</v>
      </c>
      <c r="AI1130" s="4">
        <v>7</v>
      </c>
      <c r="AJ1130" s="4">
        <v>16</v>
      </c>
      <c r="AK1130" s="4">
        <v>16</v>
      </c>
      <c r="AL1130" s="4">
        <v>4</v>
      </c>
      <c r="AM1130" s="4">
        <v>4</v>
      </c>
      <c r="AN1130" s="4">
        <v>0</v>
      </c>
      <c r="AO1130" s="4">
        <v>0</v>
      </c>
      <c r="AP1130" s="3" t="s">
        <v>61</v>
      </c>
      <c r="AQ1130" s="3" t="s">
        <v>61</v>
      </c>
      <c r="AS1130" s="6" t="str">
        <f>HYPERLINK("https://creighton-primo.hosted.exlibrisgroup.com/primo-explore/search?tab=default_tab&amp;search_scope=EVERYTHING&amp;vid=01CRU&amp;lang=en_US&amp;offset=0&amp;query=any,contains,991005044749702656","Catalog Record")</f>
        <v>Catalog Record</v>
      </c>
      <c r="AT1130" s="6" t="str">
        <f>HYPERLINK("http://www.worldcat.org/oclc/6816040","WorldCat Record")</f>
        <v>WorldCat Record</v>
      </c>
      <c r="AU1130" s="3" t="s">
        <v>12894</v>
      </c>
      <c r="AV1130" s="3" t="s">
        <v>12895</v>
      </c>
      <c r="AW1130" s="3" t="s">
        <v>12896</v>
      </c>
      <c r="AX1130" s="3" t="s">
        <v>12896</v>
      </c>
      <c r="AY1130" s="3" t="s">
        <v>12897</v>
      </c>
      <c r="AZ1130" s="3" t="s">
        <v>75</v>
      </c>
      <c r="BB1130" s="3" t="s">
        <v>12898</v>
      </c>
      <c r="BC1130" s="3" t="s">
        <v>12899</v>
      </c>
      <c r="BD1130" s="3" t="s">
        <v>12900</v>
      </c>
    </row>
    <row r="1131" spans="1:56" ht="44.25" customHeight="1" x14ac:dyDescent="0.25">
      <c r="A1131" s="7" t="s">
        <v>61</v>
      </c>
      <c r="B1131" s="2" t="s">
        <v>12901</v>
      </c>
      <c r="C1131" s="2" t="s">
        <v>12902</v>
      </c>
      <c r="D1131" s="2" t="s">
        <v>12903</v>
      </c>
      <c r="F1131" s="3" t="s">
        <v>61</v>
      </c>
      <c r="G1131" s="3" t="s">
        <v>60</v>
      </c>
      <c r="H1131" s="3" t="s">
        <v>61</v>
      </c>
      <c r="I1131" s="3" t="s">
        <v>61</v>
      </c>
      <c r="J1131" s="3" t="s">
        <v>62</v>
      </c>
      <c r="K1131" s="2" t="s">
        <v>12904</v>
      </c>
      <c r="L1131" s="2" t="s">
        <v>12905</v>
      </c>
      <c r="M1131" s="3" t="s">
        <v>536</v>
      </c>
      <c r="N1131" s="2" t="s">
        <v>1075</v>
      </c>
      <c r="O1131" s="3" t="s">
        <v>114</v>
      </c>
      <c r="P1131" s="3" t="s">
        <v>335</v>
      </c>
      <c r="R1131" s="3" t="s">
        <v>68</v>
      </c>
      <c r="S1131" s="4">
        <v>7</v>
      </c>
      <c r="T1131" s="4">
        <v>7</v>
      </c>
      <c r="U1131" s="5" t="s">
        <v>3024</v>
      </c>
      <c r="V1131" s="5" t="s">
        <v>3024</v>
      </c>
      <c r="W1131" s="5" t="s">
        <v>12906</v>
      </c>
      <c r="X1131" s="5" t="s">
        <v>12906</v>
      </c>
      <c r="Y1131" s="4">
        <v>247</v>
      </c>
      <c r="Z1131" s="4">
        <v>166</v>
      </c>
      <c r="AA1131" s="4">
        <v>613</v>
      </c>
      <c r="AB1131" s="4">
        <v>2</v>
      </c>
      <c r="AC1131" s="4">
        <v>3</v>
      </c>
      <c r="AD1131" s="4">
        <v>12</v>
      </c>
      <c r="AE1131" s="4">
        <v>27</v>
      </c>
      <c r="AF1131" s="4">
        <v>5</v>
      </c>
      <c r="AG1131" s="4">
        <v>9</v>
      </c>
      <c r="AH1131" s="4">
        <v>2</v>
      </c>
      <c r="AI1131" s="4">
        <v>9</v>
      </c>
      <c r="AJ1131" s="4">
        <v>6</v>
      </c>
      <c r="AK1131" s="4">
        <v>13</v>
      </c>
      <c r="AL1131" s="4">
        <v>1</v>
      </c>
      <c r="AM1131" s="4">
        <v>2</v>
      </c>
      <c r="AN1131" s="4">
        <v>2</v>
      </c>
      <c r="AO1131" s="4">
        <v>2</v>
      </c>
      <c r="AP1131" s="3" t="s">
        <v>61</v>
      </c>
      <c r="AQ1131" s="3" t="s">
        <v>61</v>
      </c>
      <c r="AS1131" s="6" t="str">
        <f>HYPERLINK("https://creighton-primo.hosted.exlibrisgroup.com/primo-explore/search?tab=default_tab&amp;search_scope=EVERYTHING&amp;vid=01CRU&amp;lang=en_US&amp;offset=0&amp;query=any,contains,991002819559702656","Catalog Record")</f>
        <v>Catalog Record</v>
      </c>
      <c r="AT1131" s="6" t="str">
        <f>HYPERLINK("http://www.worldcat.org/oclc/37043875","WorldCat Record")</f>
        <v>WorldCat Record</v>
      </c>
      <c r="AU1131" s="3" t="s">
        <v>12907</v>
      </c>
      <c r="AV1131" s="3" t="s">
        <v>12908</v>
      </c>
      <c r="AW1131" s="3" t="s">
        <v>12909</v>
      </c>
      <c r="AX1131" s="3" t="s">
        <v>12909</v>
      </c>
      <c r="AY1131" s="3" t="s">
        <v>12910</v>
      </c>
      <c r="AZ1131" s="3" t="s">
        <v>75</v>
      </c>
      <c r="BB1131" s="3" t="s">
        <v>12911</v>
      </c>
      <c r="BC1131" s="3" t="s">
        <v>12912</v>
      </c>
      <c r="BD1131" s="3" t="s">
        <v>12913</v>
      </c>
    </row>
    <row r="1132" spans="1:56" ht="44.25" customHeight="1" x14ac:dyDescent="0.25">
      <c r="A1132" s="7" t="s">
        <v>61</v>
      </c>
      <c r="B1132" s="2" t="s">
        <v>12914</v>
      </c>
      <c r="C1132" s="2" t="s">
        <v>12915</v>
      </c>
      <c r="D1132" s="2" t="s">
        <v>12916</v>
      </c>
      <c r="F1132" s="3" t="s">
        <v>61</v>
      </c>
      <c r="G1132" s="3" t="s">
        <v>60</v>
      </c>
      <c r="H1132" s="3" t="s">
        <v>61</v>
      </c>
      <c r="I1132" s="3" t="s">
        <v>61</v>
      </c>
      <c r="J1132" s="3" t="s">
        <v>62</v>
      </c>
      <c r="K1132" s="2" t="s">
        <v>12917</v>
      </c>
      <c r="L1132" s="2" t="s">
        <v>12918</v>
      </c>
      <c r="M1132" s="3" t="s">
        <v>249</v>
      </c>
      <c r="O1132" s="3" t="s">
        <v>114</v>
      </c>
      <c r="P1132" s="3" t="s">
        <v>192</v>
      </c>
      <c r="Q1132" s="2" t="s">
        <v>12919</v>
      </c>
      <c r="R1132" s="3" t="s">
        <v>68</v>
      </c>
      <c r="S1132" s="4">
        <v>2</v>
      </c>
      <c r="T1132" s="4">
        <v>2</v>
      </c>
      <c r="U1132" s="5" t="s">
        <v>7805</v>
      </c>
      <c r="V1132" s="5" t="s">
        <v>7805</v>
      </c>
      <c r="W1132" s="5" t="s">
        <v>12920</v>
      </c>
      <c r="X1132" s="5" t="s">
        <v>12920</v>
      </c>
      <c r="Y1132" s="4">
        <v>240</v>
      </c>
      <c r="Z1132" s="4">
        <v>164</v>
      </c>
      <c r="AA1132" s="4">
        <v>170</v>
      </c>
      <c r="AB1132" s="4">
        <v>3</v>
      </c>
      <c r="AC1132" s="4">
        <v>3</v>
      </c>
      <c r="AD1132" s="4">
        <v>7</v>
      </c>
      <c r="AE1132" s="4">
        <v>7</v>
      </c>
      <c r="AF1132" s="4">
        <v>0</v>
      </c>
      <c r="AG1132" s="4">
        <v>0</v>
      </c>
      <c r="AH1132" s="4">
        <v>4</v>
      </c>
      <c r="AI1132" s="4">
        <v>4</v>
      </c>
      <c r="AJ1132" s="4">
        <v>3</v>
      </c>
      <c r="AK1132" s="4">
        <v>3</v>
      </c>
      <c r="AL1132" s="4">
        <v>2</v>
      </c>
      <c r="AM1132" s="4">
        <v>2</v>
      </c>
      <c r="AN1132" s="4">
        <v>0</v>
      </c>
      <c r="AO1132" s="4">
        <v>0</v>
      </c>
      <c r="AP1132" s="3" t="s">
        <v>61</v>
      </c>
      <c r="AQ1132" s="3" t="s">
        <v>59</v>
      </c>
      <c r="AR1132" s="6" t="str">
        <f>HYPERLINK("http://catalog.hathitrust.org/Record/002720213","HathiTrust Record")</f>
        <v>HathiTrust Record</v>
      </c>
      <c r="AS1132" s="6" t="str">
        <f>HYPERLINK("https://creighton-primo.hosted.exlibrisgroup.com/primo-explore/search?tab=default_tab&amp;search_scope=EVERYTHING&amp;vid=01CRU&amp;lang=en_US&amp;offset=0&amp;query=any,contains,991002194939702656","Catalog Record")</f>
        <v>Catalog Record</v>
      </c>
      <c r="AT1132" s="6" t="str">
        <f>HYPERLINK("http://www.worldcat.org/oclc/28221278","WorldCat Record")</f>
        <v>WorldCat Record</v>
      </c>
      <c r="AU1132" s="3" t="s">
        <v>12921</v>
      </c>
      <c r="AV1132" s="3" t="s">
        <v>12922</v>
      </c>
      <c r="AW1132" s="3" t="s">
        <v>12923</v>
      </c>
      <c r="AX1132" s="3" t="s">
        <v>12923</v>
      </c>
      <c r="AY1132" s="3" t="s">
        <v>12924</v>
      </c>
      <c r="AZ1132" s="3" t="s">
        <v>75</v>
      </c>
      <c r="BB1132" s="3" t="s">
        <v>12925</v>
      </c>
      <c r="BC1132" s="3" t="s">
        <v>12926</v>
      </c>
      <c r="BD1132" s="3" t="s">
        <v>12927</v>
      </c>
    </row>
    <row r="1133" spans="1:56" ht="44.25" customHeight="1" x14ac:dyDescent="0.25">
      <c r="A1133" s="7" t="s">
        <v>61</v>
      </c>
      <c r="B1133" s="2" t="s">
        <v>12928</v>
      </c>
      <c r="C1133" s="2" t="s">
        <v>12929</v>
      </c>
      <c r="D1133" s="2" t="s">
        <v>12930</v>
      </c>
      <c r="F1133" s="3" t="s">
        <v>61</v>
      </c>
      <c r="G1133" s="3" t="s">
        <v>60</v>
      </c>
      <c r="H1133" s="3" t="s">
        <v>61</v>
      </c>
      <c r="I1133" s="3" t="s">
        <v>61</v>
      </c>
      <c r="J1133" s="3" t="s">
        <v>62</v>
      </c>
      <c r="L1133" s="2" t="s">
        <v>290</v>
      </c>
      <c r="M1133" s="3" t="s">
        <v>291</v>
      </c>
      <c r="O1133" s="3" t="s">
        <v>114</v>
      </c>
      <c r="P1133" s="3" t="s">
        <v>235</v>
      </c>
      <c r="R1133" s="3" t="s">
        <v>68</v>
      </c>
      <c r="S1133" s="4">
        <v>1</v>
      </c>
      <c r="T1133" s="4">
        <v>1</v>
      </c>
      <c r="U1133" s="5" t="s">
        <v>12931</v>
      </c>
      <c r="V1133" s="5" t="s">
        <v>12931</v>
      </c>
      <c r="W1133" s="5" t="s">
        <v>12512</v>
      </c>
      <c r="X1133" s="5" t="s">
        <v>12512</v>
      </c>
      <c r="Y1133" s="4">
        <v>303</v>
      </c>
      <c r="Z1133" s="4">
        <v>232</v>
      </c>
      <c r="AA1133" s="4">
        <v>238</v>
      </c>
      <c r="AB1133" s="4">
        <v>2</v>
      </c>
      <c r="AC1133" s="4">
        <v>2</v>
      </c>
      <c r="AD1133" s="4">
        <v>9</v>
      </c>
      <c r="AE1133" s="4">
        <v>9</v>
      </c>
      <c r="AF1133" s="4">
        <v>2</v>
      </c>
      <c r="AG1133" s="4">
        <v>2</v>
      </c>
      <c r="AH1133" s="4">
        <v>4</v>
      </c>
      <c r="AI1133" s="4">
        <v>4</v>
      </c>
      <c r="AJ1133" s="4">
        <v>4</v>
      </c>
      <c r="AK1133" s="4">
        <v>4</v>
      </c>
      <c r="AL1133" s="4">
        <v>1</v>
      </c>
      <c r="AM1133" s="4">
        <v>1</v>
      </c>
      <c r="AN1133" s="4">
        <v>0</v>
      </c>
      <c r="AO1133" s="4">
        <v>0</v>
      </c>
      <c r="AP1133" s="3" t="s">
        <v>61</v>
      </c>
      <c r="AQ1133" s="3" t="s">
        <v>59</v>
      </c>
      <c r="AR1133" s="6" t="str">
        <f>HYPERLINK("http://catalog.hathitrust.org/Record/000222717","HathiTrust Record")</f>
        <v>HathiTrust Record</v>
      </c>
      <c r="AS1133" s="6" t="str">
        <f>HYPERLINK("https://creighton-primo.hosted.exlibrisgroup.com/primo-explore/search?tab=default_tab&amp;search_scope=EVERYTHING&amp;vid=01CRU&amp;lang=en_US&amp;offset=0&amp;query=any,contains,991004983749702656","Catalog Record")</f>
        <v>Catalog Record</v>
      </c>
      <c r="AT1133" s="6" t="str">
        <f>HYPERLINK("http://www.worldcat.org/oclc/6446451","WorldCat Record")</f>
        <v>WorldCat Record</v>
      </c>
      <c r="AU1133" s="3" t="s">
        <v>12932</v>
      </c>
      <c r="AV1133" s="3" t="s">
        <v>12933</v>
      </c>
      <c r="AW1133" s="3" t="s">
        <v>12934</v>
      </c>
      <c r="AX1133" s="3" t="s">
        <v>12934</v>
      </c>
      <c r="AY1133" s="3" t="s">
        <v>12935</v>
      </c>
      <c r="AZ1133" s="3" t="s">
        <v>75</v>
      </c>
      <c r="BB1133" s="3" t="s">
        <v>12936</v>
      </c>
      <c r="BC1133" s="3" t="s">
        <v>12937</v>
      </c>
      <c r="BD1133" s="3" t="s">
        <v>12938</v>
      </c>
    </row>
    <row r="1134" spans="1:56" ht="44.25" customHeight="1" x14ac:dyDescent="0.25">
      <c r="A1134" s="7" t="s">
        <v>61</v>
      </c>
      <c r="B1134" s="2" t="s">
        <v>12939</v>
      </c>
      <c r="C1134" s="2" t="s">
        <v>12940</v>
      </c>
      <c r="D1134" s="2" t="s">
        <v>12941</v>
      </c>
      <c r="F1134" s="3" t="s">
        <v>61</v>
      </c>
      <c r="G1134" s="3" t="s">
        <v>60</v>
      </c>
      <c r="H1134" s="3" t="s">
        <v>61</v>
      </c>
      <c r="I1134" s="3" t="s">
        <v>61</v>
      </c>
      <c r="J1134" s="3" t="s">
        <v>62</v>
      </c>
      <c r="K1134" s="2" t="s">
        <v>12942</v>
      </c>
      <c r="L1134" s="2" t="s">
        <v>12943</v>
      </c>
      <c r="M1134" s="3" t="s">
        <v>536</v>
      </c>
      <c r="O1134" s="3" t="s">
        <v>114</v>
      </c>
      <c r="P1134" s="3" t="s">
        <v>206</v>
      </c>
      <c r="R1134" s="3" t="s">
        <v>68</v>
      </c>
      <c r="S1134" s="4">
        <v>2</v>
      </c>
      <c r="T1134" s="4">
        <v>2</v>
      </c>
      <c r="U1134" s="5" t="s">
        <v>4364</v>
      </c>
      <c r="V1134" s="5" t="s">
        <v>4364</v>
      </c>
      <c r="W1134" s="5" t="s">
        <v>12944</v>
      </c>
      <c r="X1134" s="5" t="s">
        <v>12944</v>
      </c>
      <c r="Y1134" s="4">
        <v>667</v>
      </c>
      <c r="Z1134" s="4">
        <v>589</v>
      </c>
      <c r="AA1134" s="4">
        <v>603</v>
      </c>
      <c r="AB1134" s="4">
        <v>5</v>
      </c>
      <c r="AC1134" s="4">
        <v>5</v>
      </c>
      <c r="AD1134" s="4">
        <v>23</v>
      </c>
      <c r="AE1134" s="4">
        <v>23</v>
      </c>
      <c r="AF1134" s="4">
        <v>8</v>
      </c>
      <c r="AG1134" s="4">
        <v>8</v>
      </c>
      <c r="AH1134" s="4">
        <v>5</v>
      </c>
      <c r="AI1134" s="4">
        <v>5</v>
      </c>
      <c r="AJ1134" s="4">
        <v>11</v>
      </c>
      <c r="AK1134" s="4">
        <v>11</v>
      </c>
      <c r="AL1134" s="4">
        <v>4</v>
      </c>
      <c r="AM1134" s="4">
        <v>4</v>
      </c>
      <c r="AN1134" s="4">
        <v>0</v>
      </c>
      <c r="AO1134" s="4">
        <v>0</v>
      </c>
      <c r="AP1134" s="3" t="s">
        <v>61</v>
      </c>
      <c r="AQ1134" s="3" t="s">
        <v>61</v>
      </c>
      <c r="AS1134" s="6" t="str">
        <f>HYPERLINK("https://creighton-primo.hosted.exlibrisgroup.com/primo-explore/search?tab=default_tab&amp;search_scope=EVERYTHING&amp;vid=01CRU&amp;lang=en_US&amp;offset=0&amp;query=any,contains,991002706009702656","Catalog Record")</f>
        <v>Catalog Record</v>
      </c>
      <c r="AT1134" s="6" t="str">
        <f>HYPERLINK("http://www.worldcat.org/oclc/35325334","WorldCat Record")</f>
        <v>WorldCat Record</v>
      </c>
      <c r="AU1134" s="3" t="s">
        <v>12945</v>
      </c>
      <c r="AV1134" s="3" t="s">
        <v>12946</v>
      </c>
      <c r="AW1134" s="3" t="s">
        <v>12947</v>
      </c>
      <c r="AX1134" s="3" t="s">
        <v>12947</v>
      </c>
      <c r="AY1134" s="3" t="s">
        <v>12948</v>
      </c>
      <c r="AZ1134" s="3" t="s">
        <v>75</v>
      </c>
      <c r="BB1134" s="3" t="s">
        <v>12949</v>
      </c>
      <c r="BC1134" s="3" t="s">
        <v>12950</v>
      </c>
      <c r="BD1134" s="3" t="s">
        <v>12951</v>
      </c>
    </row>
    <row r="1135" spans="1:56" ht="44.25" customHeight="1" x14ac:dyDescent="0.25">
      <c r="A1135" s="7" t="s">
        <v>61</v>
      </c>
      <c r="B1135" s="2" t="s">
        <v>12952</v>
      </c>
      <c r="C1135" s="2" t="s">
        <v>12953</v>
      </c>
      <c r="D1135" s="2" t="s">
        <v>12954</v>
      </c>
      <c r="F1135" s="3" t="s">
        <v>61</v>
      </c>
      <c r="G1135" s="3" t="s">
        <v>60</v>
      </c>
      <c r="H1135" s="3" t="s">
        <v>61</v>
      </c>
      <c r="I1135" s="3" t="s">
        <v>61</v>
      </c>
      <c r="J1135" s="3" t="s">
        <v>62</v>
      </c>
      <c r="K1135" s="2" t="s">
        <v>12955</v>
      </c>
      <c r="L1135" s="2" t="s">
        <v>12956</v>
      </c>
      <c r="M1135" s="3" t="s">
        <v>422</v>
      </c>
      <c r="N1135" s="2" t="s">
        <v>2877</v>
      </c>
      <c r="O1135" s="3" t="s">
        <v>114</v>
      </c>
      <c r="P1135" s="3" t="s">
        <v>192</v>
      </c>
      <c r="Q1135" s="2" t="s">
        <v>11317</v>
      </c>
      <c r="R1135" s="3" t="s">
        <v>68</v>
      </c>
      <c r="S1135" s="4">
        <v>4</v>
      </c>
      <c r="T1135" s="4">
        <v>4</v>
      </c>
      <c r="U1135" s="5" t="s">
        <v>12957</v>
      </c>
      <c r="V1135" s="5" t="s">
        <v>12957</v>
      </c>
      <c r="W1135" s="5" t="s">
        <v>12958</v>
      </c>
      <c r="X1135" s="5" t="s">
        <v>12958</v>
      </c>
      <c r="Y1135" s="4">
        <v>310</v>
      </c>
      <c r="Z1135" s="4">
        <v>178</v>
      </c>
      <c r="AA1135" s="4">
        <v>178</v>
      </c>
      <c r="AB1135" s="4">
        <v>2</v>
      </c>
      <c r="AC1135" s="4">
        <v>2</v>
      </c>
      <c r="AD1135" s="4">
        <v>9</v>
      </c>
      <c r="AE1135" s="4">
        <v>9</v>
      </c>
      <c r="AF1135" s="4">
        <v>3</v>
      </c>
      <c r="AG1135" s="4">
        <v>3</v>
      </c>
      <c r="AH1135" s="4">
        <v>2</v>
      </c>
      <c r="AI1135" s="4">
        <v>2</v>
      </c>
      <c r="AJ1135" s="4">
        <v>7</v>
      </c>
      <c r="AK1135" s="4">
        <v>7</v>
      </c>
      <c r="AL1135" s="4">
        <v>1</v>
      </c>
      <c r="AM1135" s="4">
        <v>1</v>
      </c>
      <c r="AN1135" s="4">
        <v>0</v>
      </c>
      <c r="AO1135" s="4">
        <v>0</v>
      </c>
      <c r="AP1135" s="3" t="s">
        <v>61</v>
      </c>
      <c r="AQ1135" s="3" t="s">
        <v>61</v>
      </c>
      <c r="AS1135" s="6" t="str">
        <f>HYPERLINK("https://creighton-primo.hosted.exlibrisgroup.com/primo-explore/search?tab=default_tab&amp;search_scope=EVERYTHING&amp;vid=01CRU&amp;lang=en_US&amp;offset=0&amp;query=any,contains,991002801329702656","Catalog Record")</f>
        <v>Catalog Record</v>
      </c>
      <c r="AT1135" s="6" t="str">
        <f>HYPERLINK("http://www.worldcat.org/oclc/36800531","WorldCat Record")</f>
        <v>WorldCat Record</v>
      </c>
      <c r="AU1135" s="3" t="s">
        <v>12959</v>
      </c>
      <c r="AV1135" s="3" t="s">
        <v>12960</v>
      </c>
      <c r="AW1135" s="3" t="s">
        <v>12961</v>
      </c>
      <c r="AX1135" s="3" t="s">
        <v>12961</v>
      </c>
      <c r="AY1135" s="3" t="s">
        <v>12962</v>
      </c>
      <c r="AZ1135" s="3" t="s">
        <v>75</v>
      </c>
      <c r="BB1135" s="3" t="s">
        <v>12963</v>
      </c>
      <c r="BC1135" s="3" t="s">
        <v>12964</v>
      </c>
      <c r="BD1135" s="3" t="s">
        <v>12965</v>
      </c>
    </row>
    <row r="1136" spans="1:56" ht="44.25" customHeight="1" x14ac:dyDescent="0.25">
      <c r="A1136" s="7" t="s">
        <v>61</v>
      </c>
      <c r="B1136" s="2" t="s">
        <v>12966</v>
      </c>
      <c r="C1136" s="2" t="s">
        <v>12967</v>
      </c>
      <c r="D1136" s="2" t="s">
        <v>12968</v>
      </c>
      <c r="F1136" s="3" t="s">
        <v>61</v>
      </c>
      <c r="G1136" s="3" t="s">
        <v>60</v>
      </c>
      <c r="H1136" s="3" t="s">
        <v>61</v>
      </c>
      <c r="I1136" s="3" t="s">
        <v>61</v>
      </c>
      <c r="J1136" s="3" t="s">
        <v>62</v>
      </c>
      <c r="K1136" s="2" t="s">
        <v>12969</v>
      </c>
      <c r="L1136" s="2" t="s">
        <v>12970</v>
      </c>
      <c r="M1136" s="3" t="s">
        <v>407</v>
      </c>
      <c r="O1136" s="3" t="s">
        <v>114</v>
      </c>
      <c r="P1136" s="3" t="s">
        <v>235</v>
      </c>
      <c r="R1136" s="3" t="s">
        <v>68</v>
      </c>
      <c r="S1136" s="4">
        <v>1</v>
      </c>
      <c r="T1136" s="4">
        <v>1</v>
      </c>
      <c r="U1136" s="5" t="s">
        <v>12971</v>
      </c>
      <c r="V1136" s="5" t="s">
        <v>12971</v>
      </c>
      <c r="W1136" s="5" t="s">
        <v>9500</v>
      </c>
      <c r="X1136" s="5" t="s">
        <v>9500</v>
      </c>
      <c r="Y1136" s="4">
        <v>129</v>
      </c>
      <c r="Z1136" s="4">
        <v>85</v>
      </c>
      <c r="AA1136" s="4">
        <v>229</v>
      </c>
      <c r="AB1136" s="4">
        <v>1</v>
      </c>
      <c r="AC1136" s="4">
        <v>1</v>
      </c>
      <c r="AD1136" s="4">
        <v>1</v>
      </c>
      <c r="AE1136" s="4">
        <v>10</v>
      </c>
      <c r="AF1136" s="4">
        <v>1</v>
      </c>
      <c r="AG1136" s="4">
        <v>4</v>
      </c>
      <c r="AH1136" s="4">
        <v>0</v>
      </c>
      <c r="AI1136" s="4">
        <v>3</v>
      </c>
      <c r="AJ1136" s="4">
        <v>0</v>
      </c>
      <c r="AK1136" s="4">
        <v>6</v>
      </c>
      <c r="AL1136" s="4">
        <v>0</v>
      </c>
      <c r="AM1136" s="4">
        <v>0</v>
      </c>
      <c r="AN1136" s="4">
        <v>0</v>
      </c>
      <c r="AO1136" s="4">
        <v>0</v>
      </c>
      <c r="AP1136" s="3" t="s">
        <v>61</v>
      </c>
      <c r="AQ1136" s="3" t="s">
        <v>61</v>
      </c>
      <c r="AS1136" s="6" t="str">
        <f>HYPERLINK("https://creighton-primo.hosted.exlibrisgroup.com/primo-explore/search?tab=default_tab&amp;search_scope=EVERYTHING&amp;vid=01CRU&amp;lang=en_US&amp;offset=0&amp;query=any,contains,991002315489702656","Catalog Record")</f>
        <v>Catalog Record</v>
      </c>
      <c r="AT1136" s="6" t="str">
        <f>HYPERLINK("http://www.worldcat.org/oclc/30036751","WorldCat Record")</f>
        <v>WorldCat Record</v>
      </c>
      <c r="AU1136" s="3" t="s">
        <v>12972</v>
      </c>
      <c r="AV1136" s="3" t="s">
        <v>12973</v>
      </c>
      <c r="AW1136" s="3" t="s">
        <v>12974</v>
      </c>
      <c r="AX1136" s="3" t="s">
        <v>12974</v>
      </c>
      <c r="AY1136" s="3" t="s">
        <v>12975</v>
      </c>
      <c r="AZ1136" s="3" t="s">
        <v>75</v>
      </c>
      <c r="BB1136" s="3" t="s">
        <v>12976</v>
      </c>
      <c r="BC1136" s="3" t="s">
        <v>12977</v>
      </c>
      <c r="BD1136" s="3" t="s">
        <v>12978</v>
      </c>
    </row>
    <row r="1137" spans="1:56" ht="44.25" customHeight="1" x14ac:dyDescent="0.25">
      <c r="A1137" s="7" t="s">
        <v>61</v>
      </c>
      <c r="B1137" s="2" t="s">
        <v>12979</v>
      </c>
      <c r="C1137" s="2" t="s">
        <v>12980</v>
      </c>
      <c r="D1137" s="2" t="s">
        <v>12981</v>
      </c>
      <c r="F1137" s="3" t="s">
        <v>61</v>
      </c>
      <c r="G1137" s="3" t="s">
        <v>60</v>
      </c>
      <c r="H1137" s="3" t="s">
        <v>61</v>
      </c>
      <c r="I1137" s="3" t="s">
        <v>61</v>
      </c>
      <c r="J1137" s="3" t="s">
        <v>62</v>
      </c>
      <c r="K1137" s="2" t="s">
        <v>12982</v>
      </c>
      <c r="L1137" s="2" t="s">
        <v>12983</v>
      </c>
      <c r="M1137" s="3" t="s">
        <v>7375</v>
      </c>
      <c r="N1137" s="2" t="s">
        <v>306</v>
      </c>
      <c r="O1137" s="3" t="s">
        <v>114</v>
      </c>
      <c r="P1137" s="3" t="s">
        <v>235</v>
      </c>
      <c r="R1137" s="3" t="s">
        <v>68</v>
      </c>
      <c r="S1137" s="4">
        <v>1</v>
      </c>
      <c r="T1137" s="4">
        <v>1</v>
      </c>
      <c r="U1137" s="5" t="s">
        <v>308</v>
      </c>
      <c r="V1137" s="5" t="s">
        <v>308</v>
      </c>
      <c r="W1137" s="5" t="s">
        <v>12200</v>
      </c>
      <c r="X1137" s="5" t="s">
        <v>12200</v>
      </c>
      <c r="Y1137" s="4">
        <v>769</v>
      </c>
      <c r="Z1137" s="4">
        <v>716</v>
      </c>
      <c r="AA1137" s="4">
        <v>741</v>
      </c>
      <c r="AB1137" s="4">
        <v>7</v>
      </c>
      <c r="AC1137" s="4">
        <v>7</v>
      </c>
      <c r="AD1137" s="4">
        <v>42</v>
      </c>
      <c r="AE1137" s="4">
        <v>42</v>
      </c>
      <c r="AF1137" s="4">
        <v>15</v>
      </c>
      <c r="AG1137" s="4">
        <v>15</v>
      </c>
      <c r="AH1137" s="4">
        <v>8</v>
      </c>
      <c r="AI1137" s="4">
        <v>8</v>
      </c>
      <c r="AJ1137" s="4">
        <v>20</v>
      </c>
      <c r="AK1137" s="4">
        <v>20</v>
      </c>
      <c r="AL1137" s="4">
        <v>6</v>
      </c>
      <c r="AM1137" s="4">
        <v>6</v>
      </c>
      <c r="AN1137" s="4">
        <v>2</v>
      </c>
      <c r="AO1137" s="4">
        <v>2</v>
      </c>
      <c r="AP1137" s="3" t="s">
        <v>61</v>
      </c>
      <c r="AQ1137" s="3" t="s">
        <v>59</v>
      </c>
      <c r="AR1137" s="6" t="str">
        <f>HYPERLINK("http://catalog.hathitrust.org/Record/000819083","HathiTrust Record")</f>
        <v>HathiTrust Record</v>
      </c>
      <c r="AS1137" s="6" t="str">
        <f>HYPERLINK("https://creighton-primo.hosted.exlibrisgroup.com/primo-explore/search?tab=default_tab&amp;search_scope=EVERYTHING&amp;vid=01CRU&amp;lang=en_US&amp;offset=0&amp;query=any,contains,991001074129702656","Catalog Record")</f>
        <v>Catalog Record</v>
      </c>
      <c r="AT1137" s="6" t="str">
        <f>HYPERLINK("http://www.worldcat.org/oclc/179210","WorldCat Record")</f>
        <v>WorldCat Record</v>
      </c>
      <c r="AU1137" s="3" t="s">
        <v>12984</v>
      </c>
      <c r="AV1137" s="3" t="s">
        <v>12985</v>
      </c>
      <c r="AW1137" s="3" t="s">
        <v>12986</v>
      </c>
      <c r="AX1137" s="3" t="s">
        <v>12986</v>
      </c>
      <c r="AY1137" s="3" t="s">
        <v>12987</v>
      </c>
      <c r="AZ1137" s="3" t="s">
        <v>75</v>
      </c>
      <c r="BC1137" s="3" t="s">
        <v>12988</v>
      </c>
      <c r="BD1137" s="3" t="s">
        <v>12989</v>
      </c>
    </row>
    <row r="1138" spans="1:56" ht="44.25" customHeight="1" x14ac:dyDescent="0.25">
      <c r="A1138" s="7" t="s">
        <v>61</v>
      </c>
      <c r="B1138" s="2" t="s">
        <v>12990</v>
      </c>
      <c r="C1138" s="2" t="s">
        <v>12991</v>
      </c>
      <c r="D1138" s="2" t="s">
        <v>12992</v>
      </c>
      <c r="F1138" s="3" t="s">
        <v>61</v>
      </c>
      <c r="G1138" s="3" t="s">
        <v>60</v>
      </c>
      <c r="H1138" s="3" t="s">
        <v>61</v>
      </c>
      <c r="I1138" s="3" t="s">
        <v>61</v>
      </c>
      <c r="J1138" s="3" t="s">
        <v>62</v>
      </c>
      <c r="K1138" s="2" t="s">
        <v>12993</v>
      </c>
      <c r="L1138" s="2" t="s">
        <v>12994</v>
      </c>
      <c r="M1138" s="3" t="s">
        <v>796</v>
      </c>
      <c r="O1138" s="3" t="s">
        <v>114</v>
      </c>
      <c r="P1138" s="3" t="s">
        <v>335</v>
      </c>
      <c r="R1138" s="3" t="s">
        <v>68</v>
      </c>
      <c r="S1138" s="4">
        <v>3</v>
      </c>
      <c r="T1138" s="4">
        <v>3</v>
      </c>
      <c r="U1138" s="5" t="s">
        <v>308</v>
      </c>
      <c r="V1138" s="5" t="s">
        <v>308</v>
      </c>
      <c r="W1138" s="5" t="s">
        <v>12512</v>
      </c>
      <c r="X1138" s="5" t="s">
        <v>12512</v>
      </c>
      <c r="Y1138" s="4">
        <v>347</v>
      </c>
      <c r="Z1138" s="4">
        <v>284</v>
      </c>
      <c r="AA1138" s="4">
        <v>376</v>
      </c>
      <c r="AB1138" s="4">
        <v>4</v>
      </c>
      <c r="AC1138" s="4">
        <v>4</v>
      </c>
      <c r="AD1138" s="4">
        <v>14</v>
      </c>
      <c r="AE1138" s="4">
        <v>16</v>
      </c>
      <c r="AF1138" s="4">
        <v>5</v>
      </c>
      <c r="AG1138" s="4">
        <v>6</v>
      </c>
      <c r="AH1138" s="4">
        <v>2</v>
      </c>
      <c r="AI1138" s="4">
        <v>3</v>
      </c>
      <c r="AJ1138" s="4">
        <v>9</v>
      </c>
      <c r="AK1138" s="4">
        <v>9</v>
      </c>
      <c r="AL1138" s="4">
        <v>3</v>
      </c>
      <c r="AM1138" s="4">
        <v>3</v>
      </c>
      <c r="AN1138" s="4">
        <v>0</v>
      </c>
      <c r="AO1138" s="4">
        <v>0</v>
      </c>
      <c r="AP1138" s="3" t="s">
        <v>61</v>
      </c>
      <c r="AQ1138" s="3" t="s">
        <v>59</v>
      </c>
      <c r="AR1138" s="6" t="str">
        <f>HYPERLINK("http://catalog.hathitrust.org/Record/000945107","HathiTrust Record")</f>
        <v>HathiTrust Record</v>
      </c>
      <c r="AS1138" s="6" t="str">
        <f>HYPERLINK("https://creighton-primo.hosted.exlibrisgroup.com/primo-explore/search?tab=default_tab&amp;search_scope=EVERYTHING&amp;vid=01CRU&amp;lang=en_US&amp;offset=0&amp;query=any,contains,991001068589702656","Catalog Record")</f>
        <v>Catalog Record</v>
      </c>
      <c r="AT1138" s="6" t="str">
        <f>HYPERLINK("http://www.worldcat.org/oclc/15856173","WorldCat Record")</f>
        <v>WorldCat Record</v>
      </c>
      <c r="AU1138" s="3" t="s">
        <v>12995</v>
      </c>
      <c r="AV1138" s="3" t="s">
        <v>12996</v>
      </c>
      <c r="AW1138" s="3" t="s">
        <v>12997</v>
      </c>
      <c r="AX1138" s="3" t="s">
        <v>12997</v>
      </c>
      <c r="AY1138" s="3" t="s">
        <v>12998</v>
      </c>
      <c r="AZ1138" s="3" t="s">
        <v>75</v>
      </c>
      <c r="BB1138" s="3" t="s">
        <v>12999</v>
      </c>
      <c r="BC1138" s="3" t="s">
        <v>13000</v>
      </c>
      <c r="BD1138" s="3" t="s">
        <v>13001</v>
      </c>
    </row>
    <row r="1139" spans="1:56" ht="44.25" customHeight="1" x14ac:dyDescent="0.25">
      <c r="A1139" s="7" t="s">
        <v>61</v>
      </c>
      <c r="B1139" s="2" t="s">
        <v>13002</v>
      </c>
      <c r="C1139" s="2" t="s">
        <v>13003</v>
      </c>
      <c r="D1139" s="2" t="s">
        <v>13004</v>
      </c>
      <c r="F1139" s="3" t="s">
        <v>61</v>
      </c>
      <c r="G1139" s="3" t="s">
        <v>60</v>
      </c>
      <c r="H1139" s="3" t="s">
        <v>61</v>
      </c>
      <c r="I1139" s="3" t="s">
        <v>61</v>
      </c>
      <c r="J1139" s="3" t="s">
        <v>62</v>
      </c>
      <c r="L1139" s="2" t="s">
        <v>13005</v>
      </c>
      <c r="M1139" s="3" t="s">
        <v>707</v>
      </c>
      <c r="O1139" s="3" t="s">
        <v>114</v>
      </c>
      <c r="P1139" s="3" t="s">
        <v>235</v>
      </c>
      <c r="R1139" s="3" t="s">
        <v>68</v>
      </c>
      <c r="S1139" s="4">
        <v>5</v>
      </c>
      <c r="T1139" s="4">
        <v>5</v>
      </c>
      <c r="U1139" s="5" t="s">
        <v>13006</v>
      </c>
      <c r="V1139" s="5" t="s">
        <v>13006</v>
      </c>
      <c r="W1139" s="5" t="s">
        <v>12200</v>
      </c>
      <c r="X1139" s="5" t="s">
        <v>12200</v>
      </c>
      <c r="Y1139" s="4">
        <v>782</v>
      </c>
      <c r="Z1139" s="4">
        <v>644</v>
      </c>
      <c r="AA1139" s="4">
        <v>649</v>
      </c>
      <c r="AB1139" s="4">
        <v>5</v>
      </c>
      <c r="AC1139" s="4">
        <v>5</v>
      </c>
      <c r="AD1139" s="4">
        <v>25</v>
      </c>
      <c r="AE1139" s="4">
        <v>25</v>
      </c>
      <c r="AF1139" s="4">
        <v>8</v>
      </c>
      <c r="AG1139" s="4">
        <v>8</v>
      </c>
      <c r="AH1139" s="4">
        <v>5</v>
      </c>
      <c r="AI1139" s="4">
        <v>5</v>
      </c>
      <c r="AJ1139" s="4">
        <v>15</v>
      </c>
      <c r="AK1139" s="4">
        <v>15</v>
      </c>
      <c r="AL1139" s="4">
        <v>3</v>
      </c>
      <c r="AM1139" s="4">
        <v>3</v>
      </c>
      <c r="AN1139" s="4">
        <v>0</v>
      </c>
      <c r="AO1139" s="4">
        <v>0</v>
      </c>
      <c r="AP1139" s="3" t="s">
        <v>61</v>
      </c>
      <c r="AQ1139" s="3" t="s">
        <v>59</v>
      </c>
      <c r="AR1139" s="6" t="str">
        <f>HYPERLINK("http://catalog.hathitrust.org/Record/000811329","HathiTrust Record")</f>
        <v>HathiTrust Record</v>
      </c>
      <c r="AS1139" s="6" t="str">
        <f>HYPERLINK("https://creighton-primo.hosted.exlibrisgroup.com/primo-explore/search?tab=default_tab&amp;search_scope=EVERYTHING&amp;vid=01CRU&amp;lang=en_US&amp;offset=0&amp;query=any,contains,991002669029702656","Catalog Record")</f>
        <v>Catalog Record</v>
      </c>
      <c r="AT1139" s="6" t="str">
        <f>HYPERLINK("http://www.worldcat.org/oclc/394515","WorldCat Record")</f>
        <v>WorldCat Record</v>
      </c>
      <c r="AU1139" s="3" t="s">
        <v>13007</v>
      </c>
      <c r="AV1139" s="3" t="s">
        <v>13008</v>
      </c>
      <c r="AW1139" s="3" t="s">
        <v>13009</v>
      </c>
      <c r="AX1139" s="3" t="s">
        <v>13009</v>
      </c>
      <c r="AY1139" s="3" t="s">
        <v>13010</v>
      </c>
      <c r="AZ1139" s="3" t="s">
        <v>75</v>
      </c>
      <c r="BC1139" s="3" t="s">
        <v>13011</v>
      </c>
      <c r="BD1139" s="3" t="s">
        <v>13012</v>
      </c>
    </row>
    <row r="1140" spans="1:56" ht="44.25" customHeight="1" x14ac:dyDescent="0.25">
      <c r="A1140" s="7" t="s">
        <v>61</v>
      </c>
      <c r="B1140" s="2" t="s">
        <v>13013</v>
      </c>
      <c r="C1140" s="2" t="s">
        <v>13014</v>
      </c>
      <c r="D1140" s="2" t="s">
        <v>13015</v>
      </c>
      <c r="F1140" s="3" t="s">
        <v>61</v>
      </c>
      <c r="G1140" s="3" t="s">
        <v>60</v>
      </c>
      <c r="H1140" s="3" t="s">
        <v>61</v>
      </c>
      <c r="I1140" s="3" t="s">
        <v>61</v>
      </c>
      <c r="J1140" s="3" t="s">
        <v>62</v>
      </c>
      <c r="K1140" s="2" t="s">
        <v>13016</v>
      </c>
      <c r="L1140" s="2" t="s">
        <v>13017</v>
      </c>
      <c r="M1140" s="3" t="s">
        <v>249</v>
      </c>
      <c r="O1140" s="3" t="s">
        <v>114</v>
      </c>
      <c r="P1140" s="3" t="s">
        <v>2553</v>
      </c>
      <c r="Q1140" s="2" t="s">
        <v>13018</v>
      </c>
      <c r="R1140" s="3" t="s">
        <v>68</v>
      </c>
      <c r="S1140" s="4">
        <v>5</v>
      </c>
      <c r="T1140" s="4">
        <v>5</v>
      </c>
      <c r="U1140" s="5" t="s">
        <v>606</v>
      </c>
      <c r="V1140" s="5" t="s">
        <v>606</v>
      </c>
      <c r="W1140" s="5" t="s">
        <v>2956</v>
      </c>
      <c r="X1140" s="5" t="s">
        <v>2956</v>
      </c>
      <c r="Y1140" s="4">
        <v>220</v>
      </c>
      <c r="Z1140" s="4">
        <v>190</v>
      </c>
      <c r="AA1140" s="4">
        <v>564</v>
      </c>
      <c r="AB1140" s="4">
        <v>1</v>
      </c>
      <c r="AC1140" s="4">
        <v>3</v>
      </c>
      <c r="AD1140" s="4">
        <v>7</v>
      </c>
      <c r="AE1140" s="4">
        <v>15</v>
      </c>
      <c r="AF1140" s="4">
        <v>2</v>
      </c>
      <c r="AG1140" s="4">
        <v>7</v>
      </c>
      <c r="AH1140" s="4">
        <v>3</v>
      </c>
      <c r="AI1140" s="4">
        <v>4</v>
      </c>
      <c r="AJ1140" s="4">
        <v>5</v>
      </c>
      <c r="AK1140" s="4">
        <v>8</v>
      </c>
      <c r="AL1140" s="4">
        <v>0</v>
      </c>
      <c r="AM1140" s="4">
        <v>2</v>
      </c>
      <c r="AN1140" s="4">
        <v>0</v>
      </c>
      <c r="AO1140" s="4">
        <v>0</v>
      </c>
      <c r="AP1140" s="3" t="s">
        <v>61</v>
      </c>
      <c r="AQ1140" s="3" t="s">
        <v>59</v>
      </c>
      <c r="AR1140" s="6" t="str">
        <f>HYPERLINK("http://catalog.hathitrust.org/Record/002617593","HathiTrust Record")</f>
        <v>HathiTrust Record</v>
      </c>
      <c r="AS1140" s="6" t="str">
        <f>HYPERLINK("https://creighton-primo.hosted.exlibrisgroup.com/primo-explore/search?tab=default_tab&amp;search_scope=EVERYTHING&amp;vid=01CRU&amp;lang=en_US&amp;offset=0&amp;query=any,contains,991002016269702656","Catalog Record")</f>
        <v>Catalog Record</v>
      </c>
      <c r="AT1140" s="6" t="str">
        <f>HYPERLINK("http://www.worldcat.org/oclc/25632214","WorldCat Record")</f>
        <v>WorldCat Record</v>
      </c>
      <c r="AU1140" s="3" t="s">
        <v>13019</v>
      </c>
      <c r="AV1140" s="3" t="s">
        <v>13020</v>
      </c>
      <c r="AW1140" s="3" t="s">
        <v>13021</v>
      </c>
      <c r="AX1140" s="3" t="s">
        <v>13021</v>
      </c>
      <c r="AY1140" s="3" t="s">
        <v>13022</v>
      </c>
      <c r="AZ1140" s="3" t="s">
        <v>75</v>
      </c>
      <c r="BB1140" s="3" t="s">
        <v>13023</v>
      </c>
      <c r="BC1140" s="3" t="s">
        <v>13024</v>
      </c>
      <c r="BD1140" s="3" t="s">
        <v>13025</v>
      </c>
    </row>
    <row r="1141" spans="1:56" ht="44.25" customHeight="1" x14ac:dyDescent="0.25">
      <c r="A1141" s="7" t="s">
        <v>61</v>
      </c>
      <c r="B1141" s="2" t="s">
        <v>13026</v>
      </c>
      <c r="C1141" s="2" t="s">
        <v>13027</v>
      </c>
      <c r="D1141" s="2" t="s">
        <v>13028</v>
      </c>
      <c r="F1141" s="3" t="s">
        <v>61</v>
      </c>
      <c r="G1141" s="3" t="s">
        <v>60</v>
      </c>
      <c r="H1141" s="3" t="s">
        <v>61</v>
      </c>
      <c r="I1141" s="3" t="s">
        <v>61</v>
      </c>
      <c r="J1141" s="3" t="s">
        <v>62</v>
      </c>
      <c r="K1141" s="2" t="s">
        <v>13029</v>
      </c>
      <c r="L1141" s="2" t="s">
        <v>13030</v>
      </c>
      <c r="M1141" s="3" t="s">
        <v>536</v>
      </c>
      <c r="O1141" s="3" t="s">
        <v>114</v>
      </c>
      <c r="P1141" s="3" t="s">
        <v>2432</v>
      </c>
      <c r="R1141" s="3" t="s">
        <v>68</v>
      </c>
      <c r="S1141" s="4">
        <v>2</v>
      </c>
      <c r="T1141" s="4">
        <v>2</v>
      </c>
      <c r="U1141" s="5" t="s">
        <v>13031</v>
      </c>
      <c r="V1141" s="5" t="s">
        <v>13031</v>
      </c>
      <c r="W1141" s="5" t="s">
        <v>13032</v>
      </c>
      <c r="X1141" s="5" t="s">
        <v>13032</v>
      </c>
      <c r="Y1141" s="4">
        <v>304</v>
      </c>
      <c r="Z1141" s="4">
        <v>247</v>
      </c>
      <c r="AA1141" s="4">
        <v>268</v>
      </c>
      <c r="AB1141" s="4">
        <v>4</v>
      </c>
      <c r="AC1141" s="4">
        <v>4</v>
      </c>
      <c r="AD1141" s="4">
        <v>15</v>
      </c>
      <c r="AE1141" s="4">
        <v>16</v>
      </c>
      <c r="AF1141" s="4">
        <v>5</v>
      </c>
      <c r="AG1141" s="4">
        <v>6</v>
      </c>
      <c r="AH1141" s="4">
        <v>2</v>
      </c>
      <c r="AI1141" s="4">
        <v>3</v>
      </c>
      <c r="AJ1141" s="4">
        <v>7</v>
      </c>
      <c r="AK1141" s="4">
        <v>7</v>
      </c>
      <c r="AL1141" s="4">
        <v>3</v>
      </c>
      <c r="AM1141" s="4">
        <v>3</v>
      </c>
      <c r="AN1141" s="4">
        <v>0</v>
      </c>
      <c r="AO1141" s="4">
        <v>0</v>
      </c>
      <c r="AP1141" s="3" t="s">
        <v>61</v>
      </c>
      <c r="AQ1141" s="3" t="s">
        <v>59</v>
      </c>
      <c r="AR1141" s="6" t="str">
        <f>HYPERLINK("http://catalog.hathitrust.org/Record/003946156","HathiTrust Record")</f>
        <v>HathiTrust Record</v>
      </c>
      <c r="AS1141" s="6" t="str">
        <f>HYPERLINK("https://creighton-primo.hosted.exlibrisgroup.com/primo-explore/search?tab=default_tab&amp;search_scope=EVERYTHING&amp;vid=01CRU&amp;lang=en_US&amp;offset=0&amp;query=any,contains,991002797399702656","Catalog Record")</f>
        <v>Catalog Record</v>
      </c>
      <c r="AT1141" s="6" t="str">
        <f>HYPERLINK("http://www.worldcat.org/oclc/36746439","WorldCat Record")</f>
        <v>WorldCat Record</v>
      </c>
      <c r="AU1141" s="3" t="s">
        <v>13033</v>
      </c>
      <c r="AV1141" s="3" t="s">
        <v>13034</v>
      </c>
      <c r="AW1141" s="3" t="s">
        <v>13035</v>
      </c>
      <c r="AX1141" s="3" t="s">
        <v>13035</v>
      </c>
      <c r="AY1141" s="3" t="s">
        <v>13036</v>
      </c>
      <c r="AZ1141" s="3" t="s">
        <v>75</v>
      </c>
      <c r="BB1141" s="3" t="s">
        <v>13037</v>
      </c>
      <c r="BC1141" s="3" t="s">
        <v>13038</v>
      </c>
      <c r="BD1141" s="3" t="s">
        <v>13039</v>
      </c>
    </row>
    <row r="1142" spans="1:56" ht="44.25" customHeight="1" x14ac:dyDescent="0.25">
      <c r="A1142" s="7" t="s">
        <v>61</v>
      </c>
      <c r="B1142" s="2" t="s">
        <v>13040</v>
      </c>
      <c r="C1142" s="2" t="s">
        <v>13041</v>
      </c>
      <c r="D1142" s="2" t="s">
        <v>13042</v>
      </c>
      <c r="F1142" s="3" t="s">
        <v>61</v>
      </c>
      <c r="G1142" s="3" t="s">
        <v>60</v>
      </c>
      <c r="H1142" s="3" t="s">
        <v>61</v>
      </c>
      <c r="I1142" s="3" t="s">
        <v>61</v>
      </c>
      <c r="J1142" s="3" t="s">
        <v>62</v>
      </c>
      <c r="L1142" s="2" t="s">
        <v>11249</v>
      </c>
      <c r="M1142" s="3" t="s">
        <v>552</v>
      </c>
      <c r="O1142" s="3" t="s">
        <v>114</v>
      </c>
      <c r="P1142" s="3" t="s">
        <v>335</v>
      </c>
      <c r="R1142" s="3" t="s">
        <v>68</v>
      </c>
      <c r="S1142" s="4">
        <v>2</v>
      </c>
      <c r="T1142" s="4">
        <v>2</v>
      </c>
      <c r="U1142" s="5" t="s">
        <v>13043</v>
      </c>
      <c r="V1142" s="5" t="s">
        <v>13043</v>
      </c>
      <c r="W1142" s="5" t="s">
        <v>1495</v>
      </c>
      <c r="X1142" s="5" t="s">
        <v>1495</v>
      </c>
      <c r="Y1142" s="4">
        <v>399</v>
      </c>
      <c r="Z1142" s="4">
        <v>303</v>
      </c>
      <c r="AA1142" s="4">
        <v>324</v>
      </c>
      <c r="AB1142" s="4">
        <v>3</v>
      </c>
      <c r="AC1142" s="4">
        <v>3</v>
      </c>
      <c r="AD1142" s="4">
        <v>16</v>
      </c>
      <c r="AE1142" s="4">
        <v>16</v>
      </c>
      <c r="AF1142" s="4">
        <v>4</v>
      </c>
      <c r="AG1142" s="4">
        <v>4</v>
      </c>
      <c r="AH1142" s="4">
        <v>5</v>
      </c>
      <c r="AI1142" s="4">
        <v>5</v>
      </c>
      <c r="AJ1142" s="4">
        <v>10</v>
      </c>
      <c r="AK1142" s="4">
        <v>10</v>
      </c>
      <c r="AL1142" s="4">
        <v>2</v>
      </c>
      <c r="AM1142" s="4">
        <v>2</v>
      </c>
      <c r="AN1142" s="4">
        <v>1</v>
      </c>
      <c r="AO1142" s="4">
        <v>1</v>
      </c>
      <c r="AP1142" s="3" t="s">
        <v>61</v>
      </c>
      <c r="AQ1142" s="3" t="s">
        <v>59</v>
      </c>
      <c r="AR1142" s="6" t="str">
        <f>HYPERLINK("http://catalog.hathitrust.org/Record/001830265","HathiTrust Record")</f>
        <v>HathiTrust Record</v>
      </c>
      <c r="AS1142" s="6" t="str">
        <f>HYPERLINK("https://creighton-primo.hosted.exlibrisgroup.com/primo-explore/search?tab=default_tab&amp;search_scope=EVERYTHING&amp;vid=01CRU&amp;lang=en_US&amp;offset=0&amp;query=any,contains,991001482109702656","Catalog Record")</f>
        <v>Catalog Record</v>
      </c>
      <c r="AT1142" s="6" t="str">
        <f>HYPERLINK("http://www.worldcat.org/oclc/19627393","WorldCat Record")</f>
        <v>WorldCat Record</v>
      </c>
      <c r="AU1142" s="3" t="s">
        <v>13044</v>
      </c>
      <c r="AV1142" s="3" t="s">
        <v>13045</v>
      </c>
      <c r="AW1142" s="3" t="s">
        <v>13046</v>
      </c>
      <c r="AX1142" s="3" t="s">
        <v>13046</v>
      </c>
      <c r="AY1142" s="3" t="s">
        <v>13047</v>
      </c>
      <c r="AZ1142" s="3" t="s">
        <v>75</v>
      </c>
      <c r="BB1142" s="3" t="s">
        <v>13048</v>
      </c>
      <c r="BC1142" s="3" t="s">
        <v>13049</v>
      </c>
      <c r="BD1142" s="3" t="s">
        <v>13050</v>
      </c>
    </row>
    <row r="1143" spans="1:56" ht="44.25" customHeight="1" x14ac:dyDescent="0.25">
      <c r="A1143" s="7" t="s">
        <v>61</v>
      </c>
      <c r="B1143" s="2" t="s">
        <v>13051</v>
      </c>
      <c r="C1143" s="2" t="s">
        <v>13052</v>
      </c>
      <c r="D1143" s="2" t="s">
        <v>13053</v>
      </c>
      <c r="F1143" s="3" t="s">
        <v>61</v>
      </c>
      <c r="G1143" s="3" t="s">
        <v>60</v>
      </c>
      <c r="H1143" s="3" t="s">
        <v>61</v>
      </c>
      <c r="I1143" s="3" t="s">
        <v>61</v>
      </c>
      <c r="J1143" s="3" t="s">
        <v>62</v>
      </c>
      <c r="L1143" s="2" t="s">
        <v>13054</v>
      </c>
      <c r="M1143" s="3" t="s">
        <v>770</v>
      </c>
      <c r="O1143" s="3" t="s">
        <v>114</v>
      </c>
      <c r="P1143" s="3" t="s">
        <v>649</v>
      </c>
      <c r="R1143" s="3" t="s">
        <v>68</v>
      </c>
      <c r="S1143" s="4">
        <v>1</v>
      </c>
      <c r="T1143" s="4">
        <v>1</v>
      </c>
      <c r="U1143" s="5" t="s">
        <v>13055</v>
      </c>
      <c r="V1143" s="5" t="s">
        <v>13055</v>
      </c>
      <c r="W1143" s="5" t="s">
        <v>12512</v>
      </c>
      <c r="X1143" s="5" t="s">
        <v>12512</v>
      </c>
      <c r="Y1143" s="4">
        <v>1060</v>
      </c>
      <c r="Z1143" s="4">
        <v>876</v>
      </c>
      <c r="AA1143" s="4">
        <v>881</v>
      </c>
      <c r="AB1143" s="4">
        <v>8</v>
      </c>
      <c r="AC1143" s="4">
        <v>8</v>
      </c>
      <c r="AD1143" s="4">
        <v>47</v>
      </c>
      <c r="AE1143" s="4">
        <v>47</v>
      </c>
      <c r="AF1143" s="4">
        <v>18</v>
      </c>
      <c r="AG1143" s="4">
        <v>18</v>
      </c>
      <c r="AH1143" s="4">
        <v>10</v>
      </c>
      <c r="AI1143" s="4">
        <v>10</v>
      </c>
      <c r="AJ1143" s="4">
        <v>23</v>
      </c>
      <c r="AK1143" s="4">
        <v>23</v>
      </c>
      <c r="AL1143" s="4">
        <v>7</v>
      </c>
      <c r="AM1143" s="4">
        <v>7</v>
      </c>
      <c r="AN1143" s="4">
        <v>1</v>
      </c>
      <c r="AO1143" s="4">
        <v>1</v>
      </c>
      <c r="AP1143" s="3" t="s">
        <v>61</v>
      </c>
      <c r="AQ1143" s="3" t="s">
        <v>61</v>
      </c>
      <c r="AS1143" s="6" t="str">
        <f>HYPERLINK("https://creighton-primo.hosted.exlibrisgroup.com/primo-explore/search?tab=default_tab&amp;search_scope=EVERYTHING&amp;vid=01CRU&amp;lang=en_US&amp;offset=0&amp;query=any,contains,991003800649702656","Catalog Record")</f>
        <v>Catalog Record</v>
      </c>
      <c r="AT1143" s="6" t="str">
        <f>HYPERLINK("http://www.worldcat.org/oclc/1527355","WorldCat Record")</f>
        <v>WorldCat Record</v>
      </c>
      <c r="AU1143" s="3" t="s">
        <v>13056</v>
      </c>
      <c r="AV1143" s="3" t="s">
        <v>13057</v>
      </c>
      <c r="AW1143" s="3" t="s">
        <v>13058</v>
      </c>
      <c r="AX1143" s="3" t="s">
        <v>13058</v>
      </c>
      <c r="AY1143" s="3" t="s">
        <v>13059</v>
      </c>
      <c r="AZ1143" s="3" t="s">
        <v>75</v>
      </c>
      <c r="BB1143" s="3" t="s">
        <v>13060</v>
      </c>
      <c r="BC1143" s="3" t="s">
        <v>13061</v>
      </c>
      <c r="BD1143" s="3" t="s">
        <v>13062</v>
      </c>
    </row>
    <row r="1144" spans="1:56" ht="44.25" customHeight="1" x14ac:dyDescent="0.25">
      <c r="A1144" s="7" t="s">
        <v>61</v>
      </c>
      <c r="B1144" s="2" t="s">
        <v>13063</v>
      </c>
      <c r="C1144" s="2" t="s">
        <v>13064</v>
      </c>
      <c r="D1144" s="2" t="s">
        <v>13065</v>
      </c>
      <c r="F1144" s="3" t="s">
        <v>61</v>
      </c>
      <c r="G1144" s="3" t="s">
        <v>60</v>
      </c>
      <c r="H1144" s="3" t="s">
        <v>61</v>
      </c>
      <c r="I1144" s="3" t="s">
        <v>61</v>
      </c>
      <c r="J1144" s="3" t="s">
        <v>62</v>
      </c>
      <c r="K1144" s="2" t="s">
        <v>13066</v>
      </c>
      <c r="L1144" s="2" t="s">
        <v>13067</v>
      </c>
      <c r="M1144" s="3" t="s">
        <v>249</v>
      </c>
      <c r="O1144" s="3" t="s">
        <v>114</v>
      </c>
      <c r="P1144" s="3" t="s">
        <v>619</v>
      </c>
      <c r="R1144" s="3" t="s">
        <v>68</v>
      </c>
      <c r="S1144" s="4">
        <v>1</v>
      </c>
      <c r="T1144" s="4">
        <v>1</v>
      </c>
      <c r="U1144" s="5" t="s">
        <v>13068</v>
      </c>
      <c r="V1144" s="5" t="s">
        <v>13068</v>
      </c>
      <c r="W1144" s="5" t="s">
        <v>13069</v>
      </c>
      <c r="X1144" s="5" t="s">
        <v>13069</v>
      </c>
      <c r="Y1144" s="4">
        <v>264</v>
      </c>
      <c r="Z1144" s="4">
        <v>204</v>
      </c>
      <c r="AA1144" s="4">
        <v>347</v>
      </c>
      <c r="AB1144" s="4">
        <v>2</v>
      </c>
      <c r="AC1144" s="4">
        <v>3</v>
      </c>
      <c r="AD1144" s="4">
        <v>11</v>
      </c>
      <c r="AE1144" s="4">
        <v>22</v>
      </c>
      <c r="AF1144" s="4">
        <v>1</v>
      </c>
      <c r="AG1144" s="4">
        <v>4</v>
      </c>
      <c r="AH1144" s="4">
        <v>5</v>
      </c>
      <c r="AI1144" s="4">
        <v>6</v>
      </c>
      <c r="AJ1144" s="4">
        <v>5</v>
      </c>
      <c r="AK1144" s="4">
        <v>6</v>
      </c>
      <c r="AL1144" s="4">
        <v>1</v>
      </c>
      <c r="AM1144" s="4">
        <v>2</v>
      </c>
      <c r="AN1144" s="4">
        <v>2</v>
      </c>
      <c r="AO1144" s="4">
        <v>7</v>
      </c>
      <c r="AP1144" s="3" t="s">
        <v>61</v>
      </c>
      <c r="AQ1144" s="3" t="s">
        <v>59</v>
      </c>
      <c r="AR1144" s="6" t="str">
        <f>HYPERLINK("http://catalog.hathitrust.org/Record/002714573","HathiTrust Record")</f>
        <v>HathiTrust Record</v>
      </c>
      <c r="AS1144" s="6" t="str">
        <f>HYPERLINK("https://creighton-primo.hosted.exlibrisgroup.com/primo-explore/search?tab=default_tab&amp;search_scope=EVERYTHING&amp;vid=01CRU&amp;lang=en_US&amp;offset=0&amp;query=any,contains,991002160609702656","Catalog Record")</f>
        <v>Catalog Record</v>
      </c>
      <c r="AT1144" s="6" t="str">
        <f>HYPERLINK("http://www.worldcat.org/oclc/27813586","WorldCat Record")</f>
        <v>WorldCat Record</v>
      </c>
      <c r="AU1144" s="3" t="s">
        <v>13070</v>
      </c>
      <c r="AV1144" s="3" t="s">
        <v>13071</v>
      </c>
      <c r="AW1144" s="3" t="s">
        <v>13072</v>
      </c>
      <c r="AX1144" s="3" t="s">
        <v>13072</v>
      </c>
      <c r="AY1144" s="3" t="s">
        <v>13073</v>
      </c>
      <c r="AZ1144" s="3" t="s">
        <v>75</v>
      </c>
      <c r="BB1144" s="3" t="s">
        <v>13074</v>
      </c>
      <c r="BC1144" s="3" t="s">
        <v>13075</v>
      </c>
      <c r="BD1144" s="3" t="s">
        <v>13076</v>
      </c>
    </row>
    <row r="1145" spans="1:56" ht="44.25" customHeight="1" x14ac:dyDescent="0.25">
      <c r="A1145" s="7" t="s">
        <v>61</v>
      </c>
      <c r="B1145" s="2" t="s">
        <v>13077</v>
      </c>
      <c r="C1145" s="2" t="s">
        <v>13078</v>
      </c>
      <c r="D1145" s="2" t="s">
        <v>13079</v>
      </c>
      <c r="F1145" s="3" t="s">
        <v>61</v>
      </c>
      <c r="G1145" s="3" t="s">
        <v>60</v>
      </c>
      <c r="H1145" s="3" t="s">
        <v>61</v>
      </c>
      <c r="I1145" s="3" t="s">
        <v>61</v>
      </c>
      <c r="J1145" s="3" t="s">
        <v>62</v>
      </c>
      <c r="K1145" s="2" t="s">
        <v>13080</v>
      </c>
      <c r="L1145" s="2" t="s">
        <v>13081</v>
      </c>
      <c r="M1145" s="3" t="s">
        <v>291</v>
      </c>
      <c r="O1145" s="3" t="s">
        <v>114</v>
      </c>
      <c r="P1145" s="3" t="s">
        <v>235</v>
      </c>
      <c r="R1145" s="3" t="s">
        <v>68</v>
      </c>
      <c r="S1145" s="4">
        <v>1</v>
      </c>
      <c r="T1145" s="4">
        <v>1</v>
      </c>
      <c r="U1145" s="5" t="s">
        <v>6468</v>
      </c>
      <c r="V1145" s="5" t="s">
        <v>6468</v>
      </c>
      <c r="W1145" s="5" t="s">
        <v>12512</v>
      </c>
      <c r="X1145" s="5" t="s">
        <v>12512</v>
      </c>
      <c r="Y1145" s="4">
        <v>512</v>
      </c>
      <c r="Z1145" s="4">
        <v>490</v>
      </c>
      <c r="AA1145" s="4">
        <v>498</v>
      </c>
      <c r="AB1145" s="4">
        <v>1</v>
      </c>
      <c r="AC1145" s="4">
        <v>1</v>
      </c>
      <c r="AD1145" s="4">
        <v>17</v>
      </c>
      <c r="AE1145" s="4">
        <v>17</v>
      </c>
      <c r="AF1145" s="4">
        <v>10</v>
      </c>
      <c r="AG1145" s="4">
        <v>10</v>
      </c>
      <c r="AH1145" s="4">
        <v>2</v>
      </c>
      <c r="AI1145" s="4">
        <v>2</v>
      </c>
      <c r="AJ1145" s="4">
        <v>8</v>
      </c>
      <c r="AK1145" s="4">
        <v>8</v>
      </c>
      <c r="AL1145" s="4">
        <v>0</v>
      </c>
      <c r="AM1145" s="4">
        <v>0</v>
      </c>
      <c r="AN1145" s="4">
        <v>0</v>
      </c>
      <c r="AO1145" s="4">
        <v>0</v>
      </c>
      <c r="AP1145" s="3" t="s">
        <v>61</v>
      </c>
      <c r="AQ1145" s="3" t="s">
        <v>61</v>
      </c>
      <c r="AS1145" s="6" t="str">
        <f>HYPERLINK("https://creighton-primo.hosted.exlibrisgroup.com/primo-explore/search?tab=default_tab&amp;search_scope=EVERYTHING&amp;vid=01CRU&amp;lang=en_US&amp;offset=0&amp;query=any,contains,991005007049702656","Catalog Record")</f>
        <v>Catalog Record</v>
      </c>
      <c r="AT1145" s="6" t="str">
        <f>HYPERLINK("http://www.worldcat.org/oclc/6579732","WorldCat Record")</f>
        <v>WorldCat Record</v>
      </c>
      <c r="AU1145" s="3" t="s">
        <v>13082</v>
      </c>
      <c r="AV1145" s="3" t="s">
        <v>13083</v>
      </c>
      <c r="AW1145" s="3" t="s">
        <v>13084</v>
      </c>
      <c r="AX1145" s="3" t="s">
        <v>13084</v>
      </c>
      <c r="AY1145" s="3" t="s">
        <v>13085</v>
      </c>
      <c r="AZ1145" s="3" t="s">
        <v>75</v>
      </c>
      <c r="BB1145" s="3" t="s">
        <v>13086</v>
      </c>
      <c r="BC1145" s="3" t="s">
        <v>13087</v>
      </c>
      <c r="BD1145" s="3" t="s">
        <v>13088</v>
      </c>
    </row>
    <row r="1146" spans="1:56" ht="44.25" customHeight="1" x14ac:dyDescent="0.25">
      <c r="A1146" s="7" t="s">
        <v>61</v>
      </c>
      <c r="B1146" s="2" t="s">
        <v>13089</v>
      </c>
      <c r="C1146" s="2" t="s">
        <v>13090</v>
      </c>
      <c r="D1146" s="2" t="s">
        <v>13091</v>
      </c>
      <c r="F1146" s="3" t="s">
        <v>61</v>
      </c>
      <c r="G1146" s="3" t="s">
        <v>60</v>
      </c>
      <c r="H1146" s="3" t="s">
        <v>61</v>
      </c>
      <c r="I1146" s="3" t="s">
        <v>61</v>
      </c>
      <c r="J1146" s="3" t="s">
        <v>62</v>
      </c>
      <c r="K1146" s="2" t="s">
        <v>13092</v>
      </c>
      <c r="L1146" s="2" t="s">
        <v>13093</v>
      </c>
      <c r="M1146" s="3" t="s">
        <v>234</v>
      </c>
      <c r="O1146" s="3" t="s">
        <v>114</v>
      </c>
      <c r="P1146" s="3" t="s">
        <v>192</v>
      </c>
      <c r="R1146" s="3" t="s">
        <v>68</v>
      </c>
      <c r="S1146" s="4">
        <v>1</v>
      </c>
      <c r="T1146" s="4">
        <v>1</v>
      </c>
      <c r="U1146" s="5" t="s">
        <v>13094</v>
      </c>
      <c r="V1146" s="5" t="s">
        <v>13094</v>
      </c>
      <c r="W1146" s="5" t="s">
        <v>12512</v>
      </c>
      <c r="X1146" s="5" t="s">
        <v>12512</v>
      </c>
      <c r="Y1146" s="4">
        <v>406</v>
      </c>
      <c r="Z1146" s="4">
        <v>257</v>
      </c>
      <c r="AA1146" s="4">
        <v>352</v>
      </c>
      <c r="AB1146" s="4">
        <v>3</v>
      </c>
      <c r="AC1146" s="4">
        <v>4</v>
      </c>
      <c r="AD1146" s="4">
        <v>9</v>
      </c>
      <c r="AE1146" s="4">
        <v>16</v>
      </c>
      <c r="AF1146" s="4">
        <v>1</v>
      </c>
      <c r="AG1146" s="4">
        <v>4</v>
      </c>
      <c r="AH1146" s="4">
        <v>4</v>
      </c>
      <c r="AI1146" s="4">
        <v>6</v>
      </c>
      <c r="AJ1146" s="4">
        <v>4</v>
      </c>
      <c r="AK1146" s="4">
        <v>9</v>
      </c>
      <c r="AL1146" s="4">
        <v>2</v>
      </c>
      <c r="AM1146" s="4">
        <v>3</v>
      </c>
      <c r="AN1146" s="4">
        <v>0</v>
      </c>
      <c r="AO1146" s="4">
        <v>0</v>
      </c>
      <c r="AP1146" s="3" t="s">
        <v>61</v>
      </c>
      <c r="AQ1146" s="3" t="s">
        <v>59</v>
      </c>
      <c r="AR1146" s="6" t="str">
        <f>HYPERLINK("http://catalog.hathitrust.org/Record/000205147","HathiTrust Record")</f>
        <v>HathiTrust Record</v>
      </c>
      <c r="AS1146" s="6" t="str">
        <f>HYPERLINK("https://creighton-primo.hosted.exlibrisgroup.com/primo-explore/search?tab=default_tab&amp;search_scope=EVERYTHING&amp;vid=01CRU&amp;lang=en_US&amp;offset=0&amp;query=any,contains,991000280279702656","Catalog Record")</f>
        <v>Catalog Record</v>
      </c>
      <c r="AT1146" s="6" t="str">
        <f>HYPERLINK("http://www.worldcat.org/oclc/9916497","WorldCat Record")</f>
        <v>WorldCat Record</v>
      </c>
      <c r="AU1146" s="3" t="s">
        <v>13095</v>
      </c>
      <c r="AV1146" s="3" t="s">
        <v>13096</v>
      </c>
      <c r="AW1146" s="3" t="s">
        <v>13097</v>
      </c>
      <c r="AX1146" s="3" t="s">
        <v>13097</v>
      </c>
      <c r="AY1146" s="3" t="s">
        <v>13098</v>
      </c>
      <c r="AZ1146" s="3" t="s">
        <v>75</v>
      </c>
      <c r="BB1146" s="3" t="s">
        <v>13099</v>
      </c>
      <c r="BC1146" s="3" t="s">
        <v>13100</v>
      </c>
      <c r="BD1146" s="3" t="s">
        <v>13101</v>
      </c>
    </row>
    <row r="1147" spans="1:56" ht="44.25" customHeight="1" x14ac:dyDescent="0.25">
      <c r="A1147" s="7" t="s">
        <v>61</v>
      </c>
      <c r="B1147" s="2" t="s">
        <v>13102</v>
      </c>
      <c r="C1147" s="2" t="s">
        <v>13103</v>
      </c>
      <c r="D1147" s="2" t="s">
        <v>13104</v>
      </c>
      <c r="F1147" s="3" t="s">
        <v>61</v>
      </c>
      <c r="G1147" s="3" t="s">
        <v>60</v>
      </c>
      <c r="H1147" s="3" t="s">
        <v>61</v>
      </c>
      <c r="I1147" s="3" t="s">
        <v>61</v>
      </c>
      <c r="J1147" s="3" t="s">
        <v>62</v>
      </c>
      <c r="K1147" s="2" t="s">
        <v>13105</v>
      </c>
      <c r="L1147" s="2" t="s">
        <v>13106</v>
      </c>
      <c r="M1147" s="3" t="s">
        <v>350</v>
      </c>
      <c r="O1147" s="3" t="s">
        <v>114</v>
      </c>
      <c r="P1147" s="3" t="s">
        <v>437</v>
      </c>
      <c r="Q1147" s="2" t="s">
        <v>13107</v>
      </c>
      <c r="R1147" s="3" t="s">
        <v>68</v>
      </c>
      <c r="S1147" s="4">
        <v>2</v>
      </c>
      <c r="T1147" s="4">
        <v>2</v>
      </c>
      <c r="U1147" s="5" t="s">
        <v>13108</v>
      </c>
      <c r="V1147" s="5" t="s">
        <v>13108</v>
      </c>
      <c r="W1147" s="5" t="s">
        <v>12512</v>
      </c>
      <c r="X1147" s="5" t="s">
        <v>12512</v>
      </c>
      <c r="Y1147" s="4">
        <v>331</v>
      </c>
      <c r="Z1147" s="4">
        <v>292</v>
      </c>
      <c r="AA1147" s="4">
        <v>337</v>
      </c>
      <c r="AB1147" s="4">
        <v>1</v>
      </c>
      <c r="AC1147" s="4">
        <v>3</v>
      </c>
      <c r="AD1147" s="4">
        <v>15</v>
      </c>
      <c r="AE1147" s="4">
        <v>17</v>
      </c>
      <c r="AF1147" s="4">
        <v>3</v>
      </c>
      <c r="AG1147" s="4">
        <v>3</v>
      </c>
      <c r="AH1147" s="4">
        <v>5</v>
      </c>
      <c r="AI1147" s="4">
        <v>5</v>
      </c>
      <c r="AJ1147" s="4">
        <v>9</v>
      </c>
      <c r="AK1147" s="4">
        <v>9</v>
      </c>
      <c r="AL1147" s="4">
        <v>0</v>
      </c>
      <c r="AM1147" s="4">
        <v>2</v>
      </c>
      <c r="AN1147" s="4">
        <v>2</v>
      </c>
      <c r="AO1147" s="4">
        <v>2</v>
      </c>
      <c r="AP1147" s="3" t="s">
        <v>61</v>
      </c>
      <c r="AQ1147" s="3" t="s">
        <v>59</v>
      </c>
      <c r="AR1147" s="6" t="str">
        <f>HYPERLINK("http://catalog.hathitrust.org/Record/000094803","HathiTrust Record")</f>
        <v>HathiTrust Record</v>
      </c>
      <c r="AS1147" s="6" t="str">
        <f>HYPERLINK("https://creighton-primo.hosted.exlibrisgroup.com/primo-explore/search?tab=default_tab&amp;search_scope=EVERYTHING&amp;vid=01CRU&amp;lang=en_US&amp;offset=0&amp;query=any,contains,991004948429702656","Catalog Record")</f>
        <v>Catalog Record</v>
      </c>
      <c r="AT1147" s="6" t="str">
        <f>HYPERLINK("http://www.worldcat.org/oclc/6223339","WorldCat Record")</f>
        <v>WorldCat Record</v>
      </c>
      <c r="AU1147" s="3" t="s">
        <v>13109</v>
      </c>
      <c r="AV1147" s="3" t="s">
        <v>13110</v>
      </c>
      <c r="AW1147" s="3" t="s">
        <v>13111</v>
      </c>
      <c r="AX1147" s="3" t="s">
        <v>13111</v>
      </c>
      <c r="AY1147" s="3" t="s">
        <v>13112</v>
      </c>
      <c r="AZ1147" s="3" t="s">
        <v>75</v>
      </c>
      <c r="BB1147" s="3" t="s">
        <v>13113</v>
      </c>
      <c r="BC1147" s="3" t="s">
        <v>13114</v>
      </c>
      <c r="BD1147" s="3" t="s">
        <v>13115</v>
      </c>
    </row>
    <row r="1148" spans="1:56" ht="44.25" customHeight="1" x14ac:dyDescent="0.25">
      <c r="A1148" s="7" t="s">
        <v>61</v>
      </c>
      <c r="B1148" s="2" t="s">
        <v>13116</v>
      </c>
      <c r="C1148" s="2" t="s">
        <v>13117</v>
      </c>
      <c r="D1148" s="2" t="s">
        <v>13118</v>
      </c>
      <c r="F1148" s="3" t="s">
        <v>61</v>
      </c>
      <c r="G1148" s="3" t="s">
        <v>60</v>
      </c>
      <c r="H1148" s="3" t="s">
        <v>61</v>
      </c>
      <c r="I1148" s="3" t="s">
        <v>61</v>
      </c>
      <c r="J1148" s="3" t="s">
        <v>62</v>
      </c>
      <c r="K1148" s="2" t="s">
        <v>13119</v>
      </c>
      <c r="L1148" s="2" t="s">
        <v>13120</v>
      </c>
      <c r="M1148" s="3" t="s">
        <v>552</v>
      </c>
      <c r="N1148" s="2" t="s">
        <v>634</v>
      </c>
      <c r="O1148" s="3" t="s">
        <v>114</v>
      </c>
      <c r="P1148" s="3" t="s">
        <v>235</v>
      </c>
      <c r="R1148" s="3" t="s">
        <v>68</v>
      </c>
      <c r="S1148" s="4">
        <v>10</v>
      </c>
      <c r="T1148" s="4">
        <v>10</v>
      </c>
      <c r="U1148" s="5" t="s">
        <v>13121</v>
      </c>
      <c r="V1148" s="5" t="s">
        <v>13121</v>
      </c>
      <c r="W1148" s="5" t="s">
        <v>10753</v>
      </c>
      <c r="X1148" s="5" t="s">
        <v>10753</v>
      </c>
      <c r="Y1148" s="4">
        <v>2119</v>
      </c>
      <c r="Z1148" s="4">
        <v>1927</v>
      </c>
      <c r="AA1148" s="4">
        <v>2146</v>
      </c>
      <c r="AB1148" s="4">
        <v>11</v>
      </c>
      <c r="AC1148" s="4">
        <v>13</v>
      </c>
      <c r="AD1148" s="4">
        <v>50</v>
      </c>
      <c r="AE1148" s="4">
        <v>54</v>
      </c>
      <c r="AF1148" s="4">
        <v>17</v>
      </c>
      <c r="AG1148" s="4">
        <v>18</v>
      </c>
      <c r="AH1148" s="4">
        <v>10</v>
      </c>
      <c r="AI1148" s="4">
        <v>11</v>
      </c>
      <c r="AJ1148" s="4">
        <v>22</v>
      </c>
      <c r="AK1148" s="4">
        <v>23</v>
      </c>
      <c r="AL1148" s="4">
        <v>9</v>
      </c>
      <c r="AM1148" s="4">
        <v>11</v>
      </c>
      <c r="AN1148" s="4">
        <v>2</v>
      </c>
      <c r="AO1148" s="4">
        <v>2</v>
      </c>
      <c r="AP1148" s="3" t="s">
        <v>61</v>
      </c>
      <c r="AQ1148" s="3" t="s">
        <v>59</v>
      </c>
      <c r="AR1148" s="6" t="str">
        <f>HYPERLINK("http://catalog.hathitrust.org/Record/001298583","HathiTrust Record")</f>
        <v>HathiTrust Record</v>
      </c>
      <c r="AS1148" s="6" t="str">
        <f>HYPERLINK("https://creighton-primo.hosted.exlibrisgroup.com/primo-explore/search?tab=default_tab&amp;search_scope=EVERYTHING&amp;vid=01CRU&amp;lang=en_US&amp;offset=0&amp;query=any,contains,991001450419702656","Catalog Record")</f>
        <v>Catalog Record</v>
      </c>
      <c r="AT1148" s="6" t="str">
        <f>HYPERLINK("http://www.worldcat.org/oclc/19324288","WorldCat Record")</f>
        <v>WorldCat Record</v>
      </c>
      <c r="AU1148" s="3" t="s">
        <v>13122</v>
      </c>
      <c r="AV1148" s="3" t="s">
        <v>13123</v>
      </c>
      <c r="AW1148" s="3" t="s">
        <v>13124</v>
      </c>
      <c r="AX1148" s="3" t="s">
        <v>13124</v>
      </c>
      <c r="AY1148" s="3" t="s">
        <v>13125</v>
      </c>
      <c r="AZ1148" s="3" t="s">
        <v>75</v>
      </c>
      <c r="BB1148" s="3" t="s">
        <v>13126</v>
      </c>
      <c r="BC1148" s="3" t="s">
        <v>13127</v>
      </c>
      <c r="BD1148" s="3" t="s">
        <v>13128</v>
      </c>
    </row>
    <row r="1149" spans="1:56" ht="44.25" customHeight="1" x14ac:dyDescent="0.25">
      <c r="A1149" s="7" t="s">
        <v>61</v>
      </c>
      <c r="B1149" s="2" t="s">
        <v>13129</v>
      </c>
      <c r="C1149" s="2" t="s">
        <v>13130</v>
      </c>
      <c r="D1149" s="2" t="s">
        <v>13131</v>
      </c>
      <c r="F1149" s="3" t="s">
        <v>61</v>
      </c>
      <c r="G1149" s="3" t="s">
        <v>60</v>
      </c>
      <c r="H1149" s="3" t="s">
        <v>61</v>
      </c>
      <c r="I1149" s="3" t="s">
        <v>61</v>
      </c>
      <c r="J1149" s="3" t="s">
        <v>62</v>
      </c>
      <c r="K1149" s="2" t="s">
        <v>13132</v>
      </c>
      <c r="L1149" s="2" t="s">
        <v>13133</v>
      </c>
      <c r="M1149" s="3" t="s">
        <v>1074</v>
      </c>
      <c r="O1149" s="3" t="s">
        <v>114</v>
      </c>
      <c r="P1149" s="3" t="s">
        <v>335</v>
      </c>
      <c r="R1149" s="3" t="s">
        <v>68</v>
      </c>
      <c r="S1149" s="4">
        <v>2</v>
      </c>
      <c r="T1149" s="4">
        <v>2</v>
      </c>
      <c r="U1149" s="5" t="s">
        <v>13134</v>
      </c>
      <c r="V1149" s="5" t="s">
        <v>13134</v>
      </c>
      <c r="W1149" s="5" t="s">
        <v>10753</v>
      </c>
      <c r="X1149" s="5" t="s">
        <v>10753</v>
      </c>
      <c r="Y1149" s="4">
        <v>392</v>
      </c>
      <c r="Z1149" s="4">
        <v>298</v>
      </c>
      <c r="AA1149" s="4">
        <v>320</v>
      </c>
      <c r="AB1149" s="4">
        <v>3</v>
      </c>
      <c r="AC1149" s="4">
        <v>3</v>
      </c>
      <c r="AD1149" s="4">
        <v>8</v>
      </c>
      <c r="AE1149" s="4">
        <v>8</v>
      </c>
      <c r="AF1149" s="4">
        <v>3</v>
      </c>
      <c r="AG1149" s="4">
        <v>3</v>
      </c>
      <c r="AH1149" s="4">
        <v>2</v>
      </c>
      <c r="AI1149" s="4">
        <v>2</v>
      </c>
      <c r="AJ1149" s="4">
        <v>4</v>
      </c>
      <c r="AK1149" s="4">
        <v>4</v>
      </c>
      <c r="AL1149" s="4">
        <v>2</v>
      </c>
      <c r="AM1149" s="4">
        <v>2</v>
      </c>
      <c r="AN1149" s="4">
        <v>0</v>
      </c>
      <c r="AO1149" s="4">
        <v>0</v>
      </c>
      <c r="AP1149" s="3" t="s">
        <v>61</v>
      </c>
      <c r="AQ1149" s="3" t="s">
        <v>59</v>
      </c>
      <c r="AR1149" s="6" t="str">
        <f>HYPERLINK("http://catalog.hathitrust.org/Record/000360618","HathiTrust Record")</f>
        <v>HathiTrust Record</v>
      </c>
      <c r="AS1149" s="6" t="str">
        <f>HYPERLINK("https://creighton-primo.hosted.exlibrisgroup.com/primo-explore/search?tab=default_tab&amp;search_scope=EVERYTHING&amp;vid=01CRU&amp;lang=en_US&amp;offset=0&amp;query=any,contains,991000582809702656","Catalog Record")</f>
        <v>Catalog Record</v>
      </c>
      <c r="AT1149" s="6" t="str">
        <f>HYPERLINK("http://www.worldcat.org/oclc/11754611","WorldCat Record")</f>
        <v>WorldCat Record</v>
      </c>
      <c r="AU1149" s="3" t="s">
        <v>13135</v>
      </c>
      <c r="AV1149" s="3" t="s">
        <v>13136</v>
      </c>
      <c r="AW1149" s="3" t="s">
        <v>13137</v>
      </c>
      <c r="AX1149" s="3" t="s">
        <v>13137</v>
      </c>
      <c r="AY1149" s="3" t="s">
        <v>13138</v>
      </c>
      <c r="AZ1149" s="3" t="s">
        <v>75</v>
      </c>
      <c r="BB1149" s="3" t="s">
        <v>13139</v>
      </c>
      <c r="BC1149" s="3" t="s">
        <v>13140</v>
      </c>
      <c r="BD1149" s="3" t="s">
        <v>13141</v>
      </c>
    </row>
    <row r="1150" spans="1:56" ht="44.25" customHeight="1" x14ac:dyDescent="0.25">
      <c r="A1150" s="7" t="s">
        <v>61</v>
      </c>
      <c r="B1150" s="2" t="s">
        <v>13142</v>
      </c>
      <c r="C1150" s="2" t="s">
        <v>13143</v>
      </c>
      <c r="D1150" s="2" t="s">
        <v>13144</v>
      </c>
      <c r="F1150" s="3" t="s">
        <v>61</v>
      </c>
      <c r="G1150" s="3" t="s">
        <v>60</v>
      </c>
      <c r="H1150" s="3" t="s">
        <v>61</v>
      </c>
      <c r="I1150" s="3" t="s">
        <v>61</v>
      </c>
      <c r="J1150" s="3" t="s">
        <v>62</v>
      </c>
      <c r="K1150" s="2" t="s">
        <v>13145</v>
      </c>
      <c r="L1150" s="2" t="s">
        <v>13146</v>
      </c>
      <c r="M1150" s="3" t="s">
        <v>1074</v>
      </c>
      <c r="O1150" s="3" t="s">
        <v>114</v>
      </c>
      <c r="P1150" s="3" t="s">
        <v>335</v>
      </c>
      <c r="R1150" s="3" t="s">
        <v>68</v>
      </c>
      <c r="S1150" s="4">
        <v>6</v>
      </c>
      <c r="T1150" s="4">
        <v>6</v>
      </c>
      <c r="U1150" s="5" t="s">
        <v>13147</v>
      </c>
      <c r="V1150" s="5" t="s">
        <v>13147</v>
      </c>
      <c r="W1150" s="5" t="s">
        <v>12512</v>
      </c>
      <c r="X1150" s="5" t="s">
        <v>12512</v>
      </c>
      <c r="Y1150" s="4">
        <v>428</v>
      </c>
      <c r="Z1150" s="4">
        <v>342</v>
      </c>
      <c r="AA1150" s="4">
        <v>570</v>
      </c>
      <c r="AB1150" s="4">
        <v>4</v>
      </c>
      <c r="AC1150" s="4">
        <v>5</v>
      </c>
      <c r="AD1150" s="4">
        <v>19</v>
      </c>
      <c r="AE1150" s="4">
        <v>32</v>
      </c>
      <c r="AF1150" s="4">
        <v>6</v>
      </c>
      <c r="AG1150" s="4">
        <v>15</v>
      </c>
      <c r="AH1150" s="4">
        <v>4</v>
      </c>
      <c r="AI1150" s="4">
        <v>5</v>
      </c>
      <c r="AJ1150" s="4">
        <v>10</v>
      </c>
      <c r="AK1150" s="4">
        <v>16</v>
      </c>
      <c r="AL1150" s="4">
        <v>3</v>
      </c>
      <c r="AM1150" s="4">
        <v>4</v>
      </c>
      <c r="AN1150" s="4">
        <v>1</v>
      </c>
      <c r="AO1150" s="4">
        <v>1</v>
      </c>
      <c r="AP1150" s="3" t="s">
        <v>61</v>
      </c>
      <c r="AQ1150" s="3" t="s">
        <v>59</v>
      </c>
      <c r="AR1150" s="6" t="str">
        <f>HYPERLINK("http://catalog.hathitrust.org/Record/000414697","HathiTrust Record")</f>
        <v>HathiTrust Record</v>
      </c>
      <c r="AS1150" s="6" t="str">
        <f>HYPERLINK("https://creighton-primo.hosted.exlibrisgroup.com/primo-explore/search?tab=default_tab&amp;search_scope=EVERYTHING&amp;vid=01CRU&amp;lang=en_US&amp;offset=0&amp;query=any,contains,991000609009702656","Catalog Record")</f>
        <v>Catalog Record</v>
      </c>
      <c r="AT1150" s="6" t="str">
        <f>HYPERLINK("http://www.worldcat.org/oclc/11883023","WorldCat Record")</f>
        <v>WorldCat Record</v>
      </c>
      <c r="AU1150" s="3" t="s">
        <v>13148</v>
      </c>
      <c r="AV1150" s="3" t="s">
        <v>13149</v>
      </c>
      <c r="AW1150" s="3" t="s">
        <v>13150</v>
      </c>
      <c r="AX1150" s="3" t="s">
        <v>13150</v>
      </c>
      <c r="AY1150" s="3" t="s">
        <v>13151</v>
      </c>
      <c r="AZ1150" s="3" t="s">
        <v>75</v>
      </c>
      <c r="BB1150" s="3" t="s">
        <v>13152</v>
      </c>
      <c r="BC1150" s="3" t="s">
        <v>13153</v>
      </c>
      <c r="BD1150" s="3" t="s">
        <v>13154</v>
      </c>
    </row>
    <row r="1151" spans="1:56" ht="44.25" customHeight="1" x14ac:dyDescent="0.25">
      <c r="A1151" s="7" t="s">
        <v>61</v>
      </c>
      <c r="B1151" s="2" t="s">
        <v>13155</v>
      </c>
      <c r="C1151" s="2" t="s">
        <v>13156</v>
      </c>
      <c r="D1151" s="2" t="s">
        <v>13157</v>
      </c>
      <c r="F1151" s="3" t="s">
        <v>61</v>
      </c>
      <c r="G1151" s="3" t="s">
        <v>60</v>
      </c>
      <c r="H1151" s="3" t="s">
        <v>61</v>
      </c>
      <c r="I1151" s="3" t="s">
        <v>61</v>
      </c>
      <c r="J1151" s="3" t="s">
        <v>62</v>
      </c>
      <c r="L1151" s="2" t="s">
        <v>13158</v>
      </c>
      <c r="M1151" s="3" t="s">
        <v>436</v>
      </c>
      <c r="O1151" s="3" t="s">
        <v>114</v>
      </c>
      <c r="P1151" s="3" t="s">
        <v>235</v>
      </c>
      <c r="R1151" s="3" t="s">
        <v>68</v>
      </c>
      <c r="S1151" s="4">
        <v>3</v>
      </c>
      <c r="T1151" s="4">
        <v>3</v>
      </c>
      <c r="U1151" s="5" t="s">
        <v>13159</v>
      </c>
      <c r="V1151" s="5" t="s">
        <v>13159</v>
      </c>
      <c r="W1151" s="5" t="s">
        <v>13160</v>
      </c>
      <c r="X1151" s="5" t="s">
        <v>13160</v>
      </c>
      <c r="Y1151" s="4">
        <v>283</v>
      </c>
      <c r="Z1151" s="4">
        <v>236</v>
      </c>
      <c r="AA1151" s="4">
        <v>238</v>
      </c>
      <c r="AB1151" s="4">
        <v>3</v>
      </c>
      <c r="AC1151" s="4">
        <v>3</v>
      </c>
      <c r="AD1151" s="4">
        <v>12</v>
      </c>
      <c r="AE1151" s="4">
        <v>12</v>
      </c>
      <c r="AF1151" s="4">
        <v>3</v>
      </c>
      <c r="AG1151" s="4">
        <v>3</v>
      </c>
      <c r="AH1151" s="4">
        <v>3</v>
      </c>
      <c r="AI1151" s="4">
        <v>3</v>
      </c>
      <c r="AJ1151" s="4">
        <v>7</v>
      </c>
      <c r="AK1151" s="4">
        <v>7</v>
      </c>
      <c r="AL1151" s="4">
        <v>2</v>
      </c>
      <c r="AM1151" s="4">
        <v>2</v>
      </c>
      <c r="AN1151" s="4">
        <v>1</v>
      </c>
      <c r="AO1151" s="4">
        <v>1</v>
      </c>
      <c r="AP1151" s="3" t="s">
        <v>61</v>
      </c>
      <c r="AQ1151" s="3" t="s">
        <v>59</v>
      </c>
      <c r="AR1151" s="6" t="str">
        <f>HYPERLINK("http://catalog.hathitrust.org/Record/001943088","HathiTrust Record")</f>
        <v>HathiTrust Record</v>
      </c>
      <c r="AS1151" s="6" t="str">
        <f>HYPERLINK("https://creighton-primo.hosted.exlibrisgroup.com/primo-explore/search?tab=default_tab&amp;search_scope=EVERYTHING&amp;vid=01CRU&amp;lang=en_US&amp;offset=0&amp;query=any,contains,991001567899702656","Catalog Record")</f>
        <v>Catalog Record</v>
      </c>
      <c r="AT1151" s="6" t="str">
        <f>HYPERLINK("http://www.worldcat.org/oclc/20355721","WorldCat Record")</f>
        <v>WorldCat Record</v>
      </c>
      <c r="AU1151" s="3" t="s">
        <v>13161</v>
      </c>
      <c r="AV1151" s="3" t="s">
        <v>13162</v>
      </c>
      <c r="AW1151" s="3" t="s">
        <v>13163</v>
      </c>
      <c r="AX1151" s="3" t="s">
        <v>13163</v>
      </c>
      <c r="AY1151" s="3" t="s">
        <v>13164</v>
      </c>
      <c r="AZ1151" s="3" t="s">
        <v>75</v>
      </c>
      <c r="BB1151" s="3" t="s">
        <v>13165</v>
      </c>
      <c r="BC1151" s="3" t="s">
        <v>13166</v>
      </c>
      <c r="BD1151" s="3" t="s">
        <v>13167</v>
      </c>
    </row>
    <row r="1152" spans="1:56" ht="44.25" customHeight="1" x14ac:dyDescent="0.25">
      <c r="A1152" s="7" t="s">
        <v>61</v>
      </c>
      <c r="B1152" s="2" t="s">
        <v>13168</v>
      </c>
      <c r="C1152" s="2" t="s">
        <v>13169</v>
      </c>
      <c r="D1152" s="2" t="s">
        <v>13170</v>
      </c>
      <c r="F1152" s="3" t="s">
        <v>61</v>
      </c>
      <c r="G1152" s="3" t="s">
        <v>60</v>
      </c>
      <c r="H1152" s="3" t="s">
        <v>61</v>
      </c>
      <c r="I1152" s="3" t="s">
        <v>61</v>
      </c>
      <c r="J1152" s="3" t="s">
        <v>62</v>
      </c>
      <c r="K1152" s="2" t="s">
        <v>13171</v>
      </c>
      <c r="L1152" s="2" t="s">
        <v>13172</v>
      </c>
      <c r="M1152" s="3" t="s">
        <v>2391</v>
      </c>
      <c r="O1152" s="3" t="s">
        <v>114</v>
      </c>
      <c r="P1152" s="3" t="s">
        <v>192</v>
      </c>
      <c r="R1152" s="3" t="s">
        <v>68</v>
      </c>
      <c r="S1152" s="4">
        <v>4</v>
      </c>
      <c r="T1152" s="4">
        <v>4</v>
      </c>
      <c r="U1152" s="5" t="s">
        <v>13173</v>
      </c>
      <c r="V1152" s="5" t="s">
        <v>13173</v>
      </c>
      <c r="W1152" s="5" t="s">
        <v>12384</v>
      </c>
      <c r="X1152" s="5" t="s">
        <v>12384</v>
      </c>
      <c r="Y1152" s="4">
        <v>409</v>
      </c>
      <c r="Z1152" s="4">
        <v>279</v>
      </c>
      <c r="AA1152" s="4">
        <v>283</v>
      </c>
      <c r="AB1152" s="4">
        <v>3</v>
      </c>
      <c r="AC1152" s="4">
        <v>3</v>
      </c>
      <c r="AD1152" s="4">
        <v>21</v>
      </c>
      <c r="AE1152" s="4">
        <v>21</v>
      </c>
      <c r="AF1152" s="4">
        <v>8</v>
      </c>
      <c r="AG1152" s="4">
        <v>8</v>
      </c>
      <c r="AH1152" s="4">
        <v>5</v>
      </c>
      <c r="AI1152" s="4">
        <v>5</v>
      </c>
      <c r="AJ1152" s="4">
        <v>12</v>
      </c>
      <c r="AK1152" s="4">
        <v>12</v>
      </c>
      <c r="AL1152" s="4">
        <v>2</v>
      </c>
      <c r="AM1152" s="4">
        <v>2</v>
      </c>
      <c r="AN1152" s="4">
        <v>0</v>
      </c>
      <c r="AO1152" s="4">
        <v>0</v>
      </c>
      <c r="AP1152" s="3" t="s">
        <v>61</v>
      </c>
      <c r="AQ1152" s="3" t="s">
        <v>61</v>
      </c>
      <c r="AS1152" s="6" t="str">
        <f>HYPERLINK("https://creighton-primo.hosted.exlibrisgroup.com/primo-explore/search?tab=default_tab&amp;search_scope=EVERYTHING&amp;vid=01CRU&amp;lang=en_US&amp;offset=0&amp;query=any,contains,991003633269702656","Catalog Record")</f>
        <v>Catalog Record</v>
      </c>
      <c r="AT1152" s="6" t="str">
        <f>HYPERLINK("http://www.worldcat.org/oclc/46694628","WorldCat Record")</f>
        <v>WorldCat Record</v>
      </c>
      <c r="AU1152" s="3" t="s">
        <v>13174</v>
      </c>
      <c r="AV1152" s="3" t="s">
        <v>13175</v>
      </c>
      <c r="AW1152" s="3" t="s">
        <v>13176</v>
      </c>
      <c r="AX1152" s="3" t="s">
        <v>13176</v>
      </c>
      <c r="AY1152" s="3" t="s">
        <v>13177</v>
      </c>
      <c r="AZ1152" s="3" t="s">
        <v>75</v>
      </c>
      <c r="BB1152" s="3" t="s">
        <v>13178</v>
      </c>
      <c r="BC1152" s="3" t="s">
        <v>13179</v>
      </c>
      <c r="BD1152" s="3" t="s">
        <v>13180</v>
      </c>
    </row>
    <row r="1153" spans="1:56" ht="44.25" customHeight="1" x14ac:dyDescent="0.25">
      <c r="A1153" s="7" t="s">
        <v>61</v>
      </c>
      <c r="B1153" s="2" t="s">
        <v>13181</v>
      </c>
      <c r="C1153" s="2" t="s">
        <v>13182</v>
      </c>
      <c r="D1153" s="2" t="s">
        <v>13183</v>
      </c>
      <c r="F1153" s="3" t="s">
        <v>61</v>
      </c>
      <c r="G1153" s="3" t="s">
        <v>60</v>
      </c>
      <c r="H1153" s="3" t="s">
        <v>61</v>
      </c>
      <c r="I1153" s="3" t="s">
        <v>61</v>
      </c>
      <c r="J1153" s="3" t="s">
        <v>62</v>
      </c>
      <c r="L1153" s="2" t="s">
        <v>3979</v>
      </c>
      <c r="M1153" s="3" t="s">
        <v>2391</v>
      </c>
      <c r="O1153" s="3" t="s">
        <v>114</v>
      </c>
      <c r="P1153" s="3" t="s">
        <v>235</v>
      </c>
      <c r="R1153" s="3" t="s">
        <v>68</v>
      </c>
      <c r="S1153" s="4">
        <v>3</v>
      </c>
      <c r="T1153" s="4">
        <v>3</v>
      </c>
      <c r="U1153" s="5" t="s">
        <v>2596</v>
      </c>
      <c r="V1153" s="5" t="s">
        <v>2596</v>
      </c>
      <c r="W1153" s="5" t="s">
        <v>13184</v>
      </c>
      <c r="X1153" s="5" t="s">
        <v>13184</v>
      </c>
      <c r="Y1153" s="4">
        <v>186</v>
      </c>
      <c r="Z1153" s="4">
        <v>132</v>
      </c>
      <c r="AA1153" s="4">
        <v>153</v>
      </c>
      <c r="AB1153" s="4">
        <v>2</v>
      </c>
      <c r="AC1153" s="4">
        <v>2</v>
      </c>
      <c r="AD1153" s="4">
        <v>4</v>
      </c>
      <c r="AE1153" s="4">
        <v>4</v>
      </c>
      <c r="AF1153" s="4">
        <v>1</v>
      </c>
      <c r="AG1153" s="4">
        <v>1</v>
      </c>
      <c r="AH1153" s="4">
        <v>2</v>
      </c>
      <c r="AI1153" s="4">
        <v>2</v>
      </c>
      <c r="AJ1153" s="4">
        <v>1</v>
      </c>
      <c r="AK1153" s="4">
        <v>1</v>
      </c>
      <c r="AL1153" s="4">
        <v>1</v>
      </c>
      <c r="AM1153" s="4">
        <v>1</v>
      </c>
      <c r="AN1153" s="4">
        <v>0</v>
      </c>
      <c r="AO1153" s="4">
        <v>0</v>
      </c>
      <c r="AP1153" s="3" t="s">
        <v>61</v>
      </c>
      <c r="AQ1153" s="3" t="s">
        <v>61</v>
      </c>
      <c r="AS1153" s="6" t="str">
        <f>HYPERLINK("https://creighton-primo.hosted.exlibrisgroup.com/primo-explore/search?tab=default_tab&amp;search_scope=EVERYTHING&amp;vid=01CRU&amp;lang=en_US&amp;offset=0&amp;query=any,contains,991004018679702656","Catalog Record")</f>
        <v>Catalog Record</v>
      </c>
      <c r="AT1153" s="6" t="str">
        <f>HYPERLINK("http://www.worldcat.org/oclc/44720411","WorldCat Record")</f>
        <v>WorldCat Record</v>
      </c>
      <c r="AU1153" s="3" t="s">
        <v>13185</v>
      </c>
      <c r="AV1153" s="3" t="s">
        <v>13186</v>
      </c>
      <c r="AW1153" s="3" t="s">
        <v>13187</v>
      </c>
      <c r="AX1153" s="3" t="s">
        <v>13187</v>
      </c>
      <c r="AY1153" s="3" t="s">
        <v>13188</v>
      </c>
      <c r="AZ1153" s="3" t="s">
        <v>75</v>
      </c>
      <c r="BB1153" s="3" t="s">
        <v>13189</v>
      </c>
      <c r="BC1153" s="3" t="s">
        <v>13190</v>
      </c>
      <c r="BD1153" s="3" t="s">
        <v>13191</v>
      </c>
    </row>
    <row r="1154" spans="1:56" ht="44.25" customHeight="1" x14ac:dyDescent="0.25">
      <c r="A1154" s="7" t="s">
        <v>61</v>
      </c>
      <c r="B1154" s="2" t="s">
        <v>13192</v>
      </c>
      <c r="C1154" s="2" t="s">
        <v>13193</v>
      </c>
      <c r="D1154" s="2" t="s">
        <v>13194</v>
      </c>
      <c r="F1154" s="3" t="s">
        <v>61</v>
      </c>
      <c r="G1154" s="3" t="s">
        <v>60</v>
      </c>
      <c r="H1154" s="3" t="s">
        <v>61</v>
      </c>
      <c r="I1154" s="3" t="s">
        <v>61</v>
      </c>
      <c r="J1154" s="3" t="s">
        <v>62</v>
      </c>
      <c r="K1154" s="2" t="s">
        <v>13195</v>
      </c>
      <c r="L1154" s="2" t="s">
        <v>13196</v>
      </c>
      <c r="M1154" s="3" t="s">
        <v>1465</v>
      </c>
      <c r="N1154" s="2" t="s">
        <v>4614</v>
      </c>
      <c r="O1154" s="3" t="s">
        <v>114</v>
      </c>
      <c r="P1154" s="3" t="s">
        <v>235</v>
      </c>
      <c r="R1154" s="3" t="s">
        <v>68</v>
      </c>
      <c r="S1154" s="4">
        <v>3</v>
      </c>
      <c r="T1154" s="4">
        <v>3</v>
      </c>
      <c r="U1154" s="5" t="s">
        <v>13197</v>
      </c>
      <c r="V1154" s="5" t="s">
        <v>13197</v>
      </c>
      <c r="W1154" s="5" t="s">
        <v>10248</v>
      </c>
      <c r="X1154" s="5" t="s">
        <v>10248</v>
      </c>
      <c r="Y1154" s="4">
        <v>440</v>
      </c>
      <c r="Z1154" s="4">
        <v>366</v>
      </c>
      <c r="AA1154" s="4">
        <v>415</v>
      </c>
      <c r="AB1154" s="4">
        <v>2</v>
      </c>
      <c r="AC1154" s="4">
        <v>2</v>
      </c>
      <c r="AD1154" s="4">
        <v>11</v>
      </c>
      <c r="AE1154" s="4">
        <v>14</v>
      </c>
      <c r="AF1154" s="4">
        <v>4</v>
      </c>
      <c r="AG1154" s="4">
        <v>5</v>
      </c>
      <c r="AH1154" s="4">
        <v>2</v>
      </c>
      <c r="AI1154" s="4">
        <v>4</v>
      </c>
      <c r="AJ1154" s="4">
        <v>6</v>
      </c>
      <c r="AK1154" s="4">
        <v>7</v>
      </c>
      <c r="AL1154" s="4">
        <v>1</v>
      </c>
      <c r="AM1154" s="4">
        <v>1</v>
      </c>
      <c r="AN1154" s="4">
        <v>2</v>
      </c>
      <c r="AO1154" s="4">
        <v>2</v>
      </c>
      <c r="AP1154" s="3" t="s">
        <v>61</v>
      </c>
      <c r="AQ1154" s="3" t="s">
        <v>59</v>
      </c>
      <c r="AR1154" s="6" t="str">
        <f>HYPERLINK("http://catalog.hathitrust.org/Record/002471603","HathiTrust Record")</f>
        <v>HathiTrust Record</v>
      </c>
      <c r="AS1154" s="6" t="str">
        <f>HYPERLINK("https://creighton-primo.hosted.exlibrisgroup.com/primo-explore/search?tab=default_tab&amp;search_scope=EVERYTHING&amp;vid=01CRU&amp;lang=en_US&amp;offset=0&amp;query=any,contains,991001859459702656","Catalog Record")</f>
        <v>Catalog Record</v>
      </c>
      <c r="AT1154" s="6" t="str">
        <f>HYPERLINK("http://www.worldcat.org/oclc/23357166","WorldCat Record")</f>
        <v>WorldCat Record</v>
      </c>
      <c r="AU1154" s="3" t="s">
        <v>13198</v>
      </c>
      <c r="AV1154" s="3" t="s">
        <v>13199</v>
      </c>
      <c r="AW1154" s="3" t="s">
        <v>13200</v>
      </c>
      <c r="AX1154" s="3" t="s">
        <v>13200</v>
      </c>
      <c r="AY1154" s="3" t="s">
        <v>13201</v>
      </c>
      <c r="AZ1154" s="3" t="s">
        <v>75</v>
      </c>
      <c r="BB1154" s="3" t="s">
        <v>13202</v>
      </c>
      <c r="BC1154" s="3" t="s">
        <v>13203</v>
      </c>
      <c r="BD1154" s="3" t="s">
        <v>13204</v>
      </c>
    </row>
    <row r="1155" spans="1:56" ht="44.25" customHeight="1" x14ac:dyDescent="0.25">
      <c r="A1155" s="7" t="s">
        <v>61</v>
      </c>
      <c r="B1155" s="2" t="s">
        <v>13205</v>
      </c>
      <c r="C1155" s="2" t="s">
        <v>13206</v>
      </c>
      <c r="D1155" s="2" t="s">
        <v>13207</v>
      </c>
      <c r="F1155" s="3" t="s">
        <v>61</v>
      </c>
      <c r="G1155" s="3" t="s">
        <v>60</v>
      </c>
      <c r="H1155" s="3" t="s">
        <v>61</v>
      </c>
      <c r="I1155" s="3" t="s">
        <v>61</v>
      </c>
      <c r="J1155" s="3" t="s">
        <v>62</v>
      </c>
      <c r="K1155" s="2" t="s">
        <v>303</v>
      </c>
      <c r="L1155" s="2" t="s">
        <v>13208</v>
      </c>
      <c r="M1155" s="3" t="s">
        <v>249</v>
      </c>
      <c r="O1155" s="3" t="s">
        <v>114</v>
      </c>
      <c r="P1155" s="3" t="s">
        <v>235</v>
      </c>
      <c r="R1155" s="3" t="s">
        <v>68</v>
      </c>
      <c r="S1155" s="4">
        <v>4</v>
      </c>
      <c r="T1155" s="4">
        <v>4</v>
      </c>
      <c r="U1155" s="5" t="s">
        <v>13209</v>
      </c>
      <c r="V1155" s="5" t="s">
        <v>13209</v>
      </c>
      <c r="W1155" s="5" t="s">
        <v>13210</v>
      </c>
      <c r="X1155" s="5" t="s">
        <v>13210</v>
      </c>
      <c r="Y1155" s="4">
        <v>1118</v>
      </c>
      <c r="Z1155" s="4">
        <v>963</v>
      </c>
      <c r="AA1155" s="4">
        <v>1041</v>
      </c>
      <c r="AB1155" s="4">
        <v>7</v>
      </c>
      <c r="AC1155" s="4">
        <v>7</v>
      </c>
      <c r="AD1155" s="4">
        <v>32</v>
      </c>
      <c r="AE1155" s="4">
        <v>35</v>
      </c>
      <c r="AF1155" s="4">
        <v>11</v>
      </c>
      <c r="AG1155" s="4">
        <v>11</v>
      </c>
      <c r="AH1155" s="4">
        <v>8</v>
      </c>
      <c r="AI1155" s="4">
        <v>10</v>
      </c>
      <c r="AJ1155" s="4">
        <v>17</v>
      </c>
      <c r="AK1155" s="4">
        <v>19</v>
      </c>
      <c r="AL1155" s="4">
        <v>4</v>
      </c>
      <c r="AM1155" s="4">
        <v>4</v>
      </c>
      <c r="AN1155" s="4">
        <v>1</v>
      </c>
      <c r="AO1155" s="4">
        <v>1</v>
      </c>
      <c r="AP1155" s="3" t="s">
        <v>61</v>
      </c>
      <c r="AQ1155" s="3" t="s">
        <v>59</v>
      </c>
      <c r="AR1155" s="6" t="str">
        <f>HYPERLINK("http://catalog.hathitrust.org/Record/002625346","HathiTrust Record")</f>
        <v>HathiTrust Record</v>
      </c>
      <c r="AS1155" s="6" t="str">
        <f>HYPERLINK("https://creighton-primo.hosted.exlibrisgroup.com/primo-explore/search?tab=default_tab&amp;search_scope=EVERYTHING&amp;vid=01CRU&amp;lang=en_US&amp;offset=0&amp;query=any,contains,991002128079702656","Catalog Record")</f>
        <v>Catalog Record</v>
      </c>
      <c r="AT1155" s="6" t="str">
        <f>HYPERLINK("http://www.worldcat.org/oclc/27265454","WorldCat Record")</f>
        <v>WorldCat Record</v>
      </c>
      <c r="AU1155" s="3" t="s">
        <v>13211</v>
      </c>
      <c r="AV1155" s="3" t="s">
        <v>13212</v>
      </c>
      <c r="AW1155" s="3" t="s">
        <v>13213</v>
      </c>
      <c r="AX1155" s="3" t="s">
        <v>13213</v>
      </c>
      <c r="AY1155" s="3" t="s">
        <v>13214</v>
      </c>
      <c r="AZ1155" s="3" t="s">
        <v>75</v>
      </c>
      <c r="BB1155" s="3" t="s">
        <v>13215</v>
      </c>
      <c r="BC1155" s="3" t="s">
        <v>13216</v>
      </c>
      <c r="BD1155" s="3" t="s">
        <v>13217</v>
      </c>
    </row>
    <row r="1156" spans="1:56" ht="44.25" customHeight="1" x14ac:dyDescent="0.25">
      <c r="A1156" s="7" t="s">
        <v>61</v>
      </c>
      <c r="B1156" s="2" t="s">
        <v>13218</v>
      </c>
      <c r="C1156" s="2" t="s">
        <v>13219</v>
      </c>
      <c r="D1156" s="2" t="s">
        <v>13220</v>
      </c>
      <c r="F1156" s="3" t="s">
        <v>61</v>
      </c>
      <c r="G1156" s="3" t="s">
        <v>60</v>
      </c>
      <c r="H1156" s="3" t="s">
        <v>61</v>
      </c>
      <c r="I1156" s="3" t="s">
        <v>61</v>
      </c>
      <c r="J1156" s="3" t="s">
        <v>62</v>
      </c>
      <c r="K1156" s="2" t="s">
        <v>13221</v>
      </c>
      <c r="L1156" s="2" t="s">
        <v>13222</v>
      </c>
      <c r="M1156" s="3" t="s">
        <v>422</v>
      </c>
      <c r="O1156" s="3" t="s">
        <v>114</v>
      </c>
      <c r="P1156" s="3" t="s">
        <v>335</v>
      </c>
      <c r="R1156" s="3" t="s">
        <v>68</v>
      </c>
      <c r="S1156" s="4">
        <v>4</v>
      </c>
      <c r="T1156" s="4">
        <v>4</v>
      </c>
      <c r="U1156" s="5" t="s">
        <v>13223</v>
      </c>
      <c r="V1156" s="5" t="s">
        <v>13223</v>
      </c>
      <c r="W1156" s="5" t="s">
        <v>3430</v>
      </c>
      <c r="X1156" s="5" t="s">
        <v>3430</v>
      </c>
      <c r="Y1156" s="4">
        <v>431</v>
      </c>
      <c r="Z1156" s="4">
        <v>294</v>
      </c>
      <c r="AA1156" s="4">
        <v>294</v>
      </c>
      <c r="AB1156" s="4">
        <v>3</v>
      </c>
      <c r="AC1156" s="4">
        <v>3</v>
      </c>
      <c r="AD1156" s="4">
        <v>14</v>
      </c>
      <c r="AE1156" s="4">
        <v>14</v>
      </c>
      <c r="AF1156" s="4">
        <v>2</v>
      </c>
      <c r="AG1156" s="4">
        <v>2</v>
      </c>
      <c r="AH1156" s="4">
        <v>4</v>
      </c>
      <c r="AI1156" s="4">
        <v>4</v>
      </c>
      <c r="AJ1156" s="4">
        <v>8</v>
      </c>
      <c r="AK1156" s="4">
        <v>8</v>
      </c>
      <c r="AL1156" s="4">
        <v>2</v>
      </c>
      <c r="AM1156" s="4">
        <v>2</v>
      </c>
      <c r="AN1156" s="4">
        <v>0</v>
      </c>
      <c r="AO1156" s="4">
        <v>0</v>
      </c>
      <c r="AP1156" s="3" t="s">
        <v>61</v>
      </c>
      <c r="AQ1156" s="3" t="s">
        <v>61</v>
      </c>
      <c r="AS1156" s="6" t="str">
        <f>HYPERLINK("https://creighton-primo.hosted.exlibrisgroup.com/primo-explore/search?tab=default_tab&amp;search_scope=EVERYTHING&amp;vid=01CRU&amp;lang=en_US&amp;offset=0&amp;query=any,contains,991002881529702656","Catalog Record")</f>
        <v>Catalog Record</v>
      </c>
      <c r="AT1156" s="6" t="str">
        <f>HYPERLINK("http://www.worldcat.org/oclc/37976007","WorldCat Record")</f>
        <v>WorldCat Record</v>
      </c>
      <c r="AU1156" s="3" t="s">
        <v>13224</v>
      </c>
      <c r="AV1156" s="3" t="s">
        <v>13225</v>
      </c>
      <c r="AW1156" s="3" t="s">
        <v>13226</v>
      </c>
      <c r="AX1156" s="3" t="s">
        <v>13226</v>
      </c>
      <c r="AY1156" s="3" t="s">
        <v>13227</v>
      </c>
      <c r="AZ1156" s="3" t="s">
        <v>75</v>
      </c>
      <c r="BB1156" s="3" t="s">
        <v>13228</v>
      </c>
      <c r="BC1156" s="3" t="s">
        <v>13229</v>
      </c>
      <c r="BD1156" s="3" t="s">
        <v>13230</v>
      </c>
    </row>
    <row r="1157" spans="1:56" ht="44.25" customHeight="1" x14ac:dyDescent="0.25">
      <c r="A1157" s="7" t="s">
        <v>61</v>
      </c>
      <c r="B1157" s="2" t="s">
        <v>13231</v>
      </c>
      <c r="C1157" s="2" t="s">
        <v>13232</v>
      </c>
      <c r="D1157" s="2" t="s">
        <v>13233</v>
      </c>
      <c r="F1157" s="3" t="s">
        <v>61</v>
      </c>
      <c r="G1157" s="3" t="s">
        <v>60</v>
      </c>
      <c r="H1157" s="3" t="s">
        <v>61</v>
      </c>
      <c r="I1157" s="3" t="s">
        <v>61</v>
      </c>
      <c r="J1157" s="3" t="s">
        <v>62</v>
      </c>
      <c r="K1157" s="2" t="s">
        <v>13234</v>
      </c>
      <c r="L1157" s="2" t="s">
        <v>13235</v>
      </c>
      <c r="M1157" s="3" t="s">
        <v>1870</v>
      </c>
      <c r="O1157" s="3" t="s">
        <v>114</v>
      </c>
      <c r="P1157" s="3" t="s">
        <v>235</v>
      </c>
      <c r="R1157" s="3" t="s">
        <v>68</v>
      </c>
      <c r="S1157" s="4">
        <v>7</v>
      </c>
      <c r="T1157" s="4">
        <v>7</v>
      </c>
      <c r="U1157" s="5" t="s">
        <v>13173</v>
      </c>
      <c r="V1157" s="5" t="s">
        <v>13173</v>
      </c>
      <c r="W1157" s="5" t="s">
        <v>13236</v>
      </c>
      <c r="X1157" s="5" t="s">
        <v>13236</v>
      </c>
      <c r="Y1157" s="4">
        <v>896</v>
      </c>
      <c r="Z1157" s="4">
        <v>775</v>
      </c>
      <c r="AA1157" s="4">
        <v>907</v>
      </c>
      <c r="AB1157" s="4">
        <v>4</v>
      </c>
      <c r="AC1157" s="4">
        <v>4</v>
      </c>
      <c r="AD1157" s="4">
        <v>28</v>
      </c>
      <c r="AE1157" s="4">
        <v>33</v>
      </c>
      <c r="AF1157" s="4">
        <v>9</v>
      </c>
      <c r="AG1157" s="4">
        <v>11</v>
      </c>
      <c r="AH1157" s="4">
        <v>9</v>
      </c>
      <c r="AI1157" s="4">
        <v>10</v>
      </c>
      <c r="AJ1157" s="4">
        <v>14</v>
      </c>
      <c r="AK1157" s="4">
        <v>17</v>
      </c>
      <c r="AL1157" s="4">
        <v>3</v>
      </c>
      <c r="AM1157" s="4">
        <v>3</v>
      </c>
      <c r="AN1157" s="4">
        <v>0</v>
      </c>
      <c r="AO1157" s="4">
        <v>0</v>
      </c>
      <c r="AP1157" s="3" t="s">
        <v>61</v>
      </c>
      <c r="AQ1157" s="3" t="s">
        <v>61</v>
      </c>
      <c r="AS1157" s="6" t="str">
        <f>HYPERLINK("https://creighton-primo.hosted.exlibrisgroup.com/primo-explore/search?tab=default_tab&amp;search_scope=EVERYTHING&amp;vid=01CRU&amp;lang=en_US&amp;offset=0&amp;query=any,contains,991002356189702656","Catalog Record")</f>
        <v>Catalog Record</v>
      </c>
      <c r="AT1157" s="6" t="str">
        <f>HYPERLINK("http://www.worldcat.org/oclc/30665547","WorldCat Record")</f>
        <v>WorldCat Record</v>
      </c>
      <c r="AU1157" s="3" t="s">
        <v>13237</v>
      </c>
      <c r="AV1157" s="3" t="s">
        <v>13238</v>
      </c>
      <c r="AW1157" s="3" t="s">
        <v>13239</v>
      </c>
      <c r="AX1157" s="3" t="s">
        <v>13239</v>
      </c>
      <c r="AY1157" s="3" t="s">
        <v>13240</v>
      </c>
      <c r="AZ1157" s="3" t="s">
        <v>75</v>
      </c>
      <c r="BB1157" s="3" t="s">
        <v>13241</v>
      </c>
      <c r="BC1157" s="3" t="s">
        <v>13242</v>
      </c>
      <c r="BD1157" s="3" t="s">
        <v>13243</v>
      </c>
    </row>
    <row r="1158" spans="1:56" ht="44.25" customHeight="1" x14ac:dyDescent="0.25">
      <c r="A1158" s="7" t="s">
        <v>61</v>
      </c>
      <c r="B1158" s="2" t="s">
        <v>13244</v>
      </c>
      <c r="C1158" s="2" t="s">
        <v>13245</v>
      </c>
      <c r="D1158" s="2" t="s">
        <v>13246</v>
      </c>
      <c r="F1158" s="3" t="s">
        <v>61</v>
      </c>
      <c r="G1158" s="3" t="s">
        <v>60</v>
      </c>
      <c r="H1158" s="3" t="s">
        <v>61</v>
      </c>
      <c r="I1158" s="3" t="s">
        <v>61</v>
      </c>
      <c r="J1158" s="3" t="s">
        <v>62</v>
      </c>
      <c r="L1158" s="2" t="s">
        <v>13247</v>
      </c>
      <c r="M1158" s="3" t="s">
        <v>605</v>
      </c>
      <c r="O1158" s="3" t="s">
        <v>114</v>
      </c>
      <c r="P1158" s="3" t="s">
        <v>619</v>
      </c>
      <c r="R1158" s="3" t="s">
        <v>68</v>
      </c>
      <c r="S1158" s="4">
        <v>15</v>
      </c>
      <c r="T1158" s="4">
        <v>15</v>
      </c>
      <c r="U1158" s="5" t="s">
        <v>13248</v>
      </c>
      <c r="V1158" s="5" t="s">
        <v>13248</v>
      </c>
      <c r="W1158" s="5" t="s">
        <v>13249</v>
      </c>
      <c r="X1158" s="5" t="s">
        <v>13249</v>
      </c>
      <c r="Y1158" s="4">
        <v>456</v>
      </c>
      <c r="Z1158" s="4">
        <v>380</v>
      </c>
      <c r="AA1158" s="4">
        <v>387</v>
      </c>
      <c r="AB1158" s="4">
        <v>3</v>
      </c>
      <c r="AC1158" s="4">
        <v>3</v>
      </c>
      <c r="AD1158" s="4">
        <v>20</v>
      </c>
      <c r="AE1158" s="4">
        <v>20</v>
      </c>
      <c r="AF1158" s="4">
        <v>5</v>
      </c>
      <c r="AG1158" s="4">
        <v>5</v>
      </c>
      <c r="AH1158" s="4">
        <v>6</v>
      </c>
      <c r="AI1158" s="4">
        <v>6</v>
      </c>
      <c r="AJ1158" s="4">
        <v>12</v>
      </c>
      <c r="AK1158" s="4">
        <v>12</v>
      </c>
      <c r="AL1158" s="4">
        <v>2</v>
      </c>
      <c r="AM1158" s="4">
        <v>2</v>
      </c>
      <c r="AN1158" s="4">
        <v>0</v>
      </c>
      <c r="AO1158" s="4">
        <v>0</v>
      </c>
      <c r="AP1158" s="3" t="s">
        <v>61</v>
      </c>
      <c r="AQ1158" s="3" t="s">
        <v>59</v>
      </c>
      <c r="AR1158" s="6" t="str">
        <f>HYPERLINK("http://catalog.hathitrust.org/Record/002579867","HathiTrust Record")</f>
        <v>HathiTrust Record</v>
      </c>
      <c r="AS1158" s="6" t="str">
        <f>HYPERLINK("https://creighton-primo.hosted.exlibrisgroup.com/primo-explore/search?tab=default_tab&amp;search_scope=EVERYTHING&amp;vid=01CRU&amp;lang=en_US&amp;offset=0&amp;query=any,contains,991002031749702656","Catalog Record")</f>
        <v>Catalog Record</v>
      </c>
      <c r="AT1158" s="6" t="str">
        <f>HYPERLINK("http://www.worldcat.org/oclc/25872863","WorldCat Record")</f>
        <v>WorldCat Record</v>
      </c>
      <c r="AU1158" s="3" t="s">
        <v>13250</v>
      </c>
      <c r="AV1158" s="3" t="s">
        <v>13251</v>
      </c>
      <c r="AW1158" s="3" t="s">
        <v>13252</v>
      </c>
      <c r="AX1158" s="3" t="s">
        <v>13252</v>
      </c>
      <c r="AY1158" s="3" t="s">
        <v>13253</v>
      </c>
      <c r="AZ1158" s="3" t="s">
        <v>75</v>
      </c>
      <c r="BB1158" s="3" t="s">
        <v>13254</v>
      </c>
      <c r="BC1158" s="3" t="s">
        <v>13255</v>
      </c>
      <c r="BD1158" s="3" t="s">
        <v>13256</v>
      </c>
    </row>
    <row r="1159" spans="1:56" ht="44.25" customHeight="1" x14ac:dyDescent="0.25">
      <c r="A1159" s="7" t="s">
        <v>61</v>
      </c>
      <c r="B1159" s="2" t="s">
        <v>13257</v>
      </c>
      <c r="C1159" s="2" t="s">
        <v>13258</v>
      </c>
      <c r="D1159" s="2" t="s">
        <v>13259</v>
      </c>
      <c r="F1159" s="3" t="s">
        <v>61</v>
      </c>
      <c r="G1159" s="3" t="s">
        <v>60</v>
      </c>
      <c r="H1159" s="3" t="s">
        <v>61</v>
      </c>
      <c r="I1159" s="3" t="s">
        <v>61</v>
      </c>
      <c r="J1159" s="3" t="s">
        <v>62</v>
      </c>
      <c r="K1159" s="2" t="s">
        <v>13260</v>
      </c>
      <c r="L1159" s="2" t="s">
        <v>13261</v>
      </c>
      <c r="M1159" s="3" t="s">
        <v>9342</v>
      </c>
      <c r="O1159" s="3" t="s">
        <v>114</v>
      </c>
      <c r="P1159" s="3" t="s">
        <v>192</v>
      </c>
      <c r="R1159" s="3" t="s">
        <v>68</v>
      </c>
      <c r="S1159" s="4">
        <v>1</v>
      </c>
      <c r="T1159" s="4">
        <v>1</v>
      </c>
      <c r="U1159" s="5" t="s">
        <v>13262</v>
      </c>
      <c r="V1159" s="5" t="s">
        <v>13262</v>
      </c>
      <c r="W1159" s="5" t="s">
        <v>13262</v>
      </c>
      <c r="X1159" s="5" t="s">
        <v>13262</v>
      </c>
      <c r="Y1159" s="4">
        <v>229</v>
      </c>
      <c r="Z1159" s="4">
        <v>160</v>
      </c>
      <c r="AA1159" s="4">
        <v>165</v>
      </c>
      <c r="AB1159" s="4">
        <v>3</v>
      </c>
      <c r="AC1159" s="4">
        <v>3</v>
      </c>
      <c r="AD1159" s="4">
        <v>10</v>
      </c>
      <c r="AE1159" s="4">
        <v>10</v>
      </c>
      <c r="AF1159" s="4">
        <v>3</v>
      </c>
      <c r="AG1159" s="4">
        <v>3</v>
      </c>
      <c r="AH1159" s="4">
        <v>4</v>
      </c>
      <c r="AI1159" s="4">
        <v>4</v>
      </c>
      <c r="AJ1159" s="4">
        <v>2</v>
      </c>
      <c r="AK1159" s="4">
        <v>2</v>
      </c>
      <c r="AL1159" s="4">
        <v>2</v>
      </c>
      <c r="AM1159" s="4">
        <v>2</v>
      </c>
      <c r="AN1159" s="4">
        <v>0</v>
      </c>
      <c r="AO1159" s="4">
        <v>0</v>
      </c>
      <c r="AP1159" s="3" t="s">
        <v>61</v>
      </c>
      <c r="AQ1159" s="3" t="s">
        <v>61</v>
      </c>
      <c r="AS1159" s="6" t="str">
        <f>HYPERLINK("https://creighton-primo.hosted.exlibrisgroup.com/primo-explore/search?tab=default_tab&amp;search_scope=EVERYTHING&amp;vid=01CRU&amp;lang=en_US&amp;offset=0&amp;query=any,contains,991004675979702656","Catalog Record")</f>
        <v>Catalog Record</v>
      </c>
      <c r="AT1159" s="6" t="str">
        <f>HYPERLINK("http://www.worldcat.org/oclc/60667883","WorldCat Record")</f>
        <v>WorldCat Record</v>
      </c>
      <c r="AU1159" s="3" t="s">
        <v>13263</v>
      </c>
      <c r="AV1159" s="3" t="s">
        <v>13264</v>
      </c>
      <c r="AW1159" s="3" t="s">
        <v>13265</v>
      </c>
      <c r="AX1159" s="3" t="s">
        <v>13265</v>
      </c>
      <c r="AY1159" s="3" t="s">
        <v>13266</v>
      </c>
      <c r="AZ1159" s="3" t="s">
        <v>75</v>
      </c>
      <c r="BB1159" s="3" t="s">
        <v>13267</v>
      </c>
      <c r="BC1159" s="3" t="s">
        <v>13268</v>
      </c>
      <c r="BD1159" s="3" t="s">
        <v>13269</v>
      </c>
    </row>
    <row r="1160" spans="1:56" ht="44.25" customHeight="1" x14ac:dyDescent="0.25">
      <c r="A1160" s="7" t="s">
        <v>61</v>
      </c>
      <c r="B1160" s="2" t="s">
        <v>13270</v>
      </c>
      <c r="C1160" s="2" t="s">
        <v>13271</v>
      </c>
      <c r="D1160" s="2" t="s">
        <v>13272</v>
      </c>
      <c r="F1160" s="3" t="s">
        <v>61</v>
      </c>
      <c r="G1160" s="3" t="s">
        <v>60</v>
      </c>
      <c r="H1160" s="3" t="s">
        <v>61</v>
      </c>
      <c r="I1160" s="3" t="s">
        <v>61</v>
      </c>
      <c r="J1160" s="3" t="s">
        <v>62</v>
      </c>
      <c r="L1160" s="2" t="s">
        <v>13273</v>
      </c>
      <c r="M1160" s="3" t="s">
        <v>1870</v>
      </c>
      <c r="O1160" s="3" t="s">
        <v>114</v>
      </c>
      <c r="P1160" s="3" t="s">
        <v>12688</v>
      </c>
      <c r="R1160" s="3" t="s">
        <v>68</v>
      </c>
      <c r="S1160" s="4">
        <v>18</v>
      </c>
      <c r="T1160" s="4">
        <v>18</v>
      </c>
      <c r="U1160" s="5" t="s">
        <v>13274</v>
      </c>
      <c r="V1160" s="5" t="s">
        <v>13274</v>
      </c>
      <c r="W1160" s="5" t="s">
        <v>13275</v>
      </c>
      <c r="X1160" s="5" t="s">
        <v>13275</v>
      </c>
      <c r="Y1160" s="4">
        <v>195</v>
      </c>
      <c r="Z1160" s="4">
        <v>117</v>
      </c>
      <c r="AA1160" s="4">
        <v>122</v>
      </c>
      <c r="AB1160" s="4">
        <v>2</v>
      </c>
      <c r="AC1160" s="4">
        <v>2</v>
      </c>
      <c r="AD1160" s="4">
        <v>3</v>
      </c>
      <c r="AE1160" s="4">
        <v>3</v>
      </c>
      <c r="AF1160" s="4">
        <v>0</v>
      </c>
      <c r="AG1160" s="4">
        <v>0</v>
      </c>
      <c r="AH1160" s="4">
        <v>2</v>
      </c>
      <c r="AI1160" s="4">
        <v>2</v>
      </c>
      <c r="AJ1160" s="4">
        <v>1</v>
      </c>
      <c r="AK1160" s="4">
        <v>1</v>
      </c>
      <c r="AL1160" s="4">
        <v>1</v>
      </c>
      <c r="AM1160" s="4">
        <v>1</v>
      </c>
      <c r="AN1160" s="4">
        <v>0</v>
      </c>
      <c r="AO1160" s="4">
        <v>0</v>
      </c>
      <c r="AP1160" s="3" t="s">
        <v>61</v>
      </c>
      <c r="AQ1160" s="3" t="s">
        <v>61</v>
      </c>
      <c r="AS1160" s="6" t="str">
        <f>HYPERLINK("https://creighton-primo.hosted.exlibrisgroup.com/primo-explore/search?tab=default_tab&amp;search_scope=EVERYTHING&amp;vid=01CRU&amp;lang=en_US&amp;offset=0&amp;query=any,contains,991002331659702656","Catalog Record")</f>
        <v>Catalog Record</v>
      </c>
      <c r="AT1160" s="6" t="str">
        <f>HYPERLINK("http://www.worldcat.org/oclc/30354314","WorldCat Record")</f>
        <v>WorldCat Record</v>
      </c>
      <c r="AU1160" s="3" t="s">
        <v>13276</v>
      </c>
      <c r="AV1160" s="3" t="s">
        <v>13277</v>
      </c>
      <c r="AW1160" s="3" t="s">
        <v>13278</v>
      </c>
      <c r="AX1160" s="3" t="s">
        <v>13278</v>
      </c>
      <c r="AY1160" s="3" t="s">
        <v>13279</v>
      </c>
      <c r="AZ1160" s="3" t="s">
        <v>75</v>
      </c>
      <c r="BB1160" s="3" t="s">
        <v>13280</v>
      </c>
      <c r="BC1160" s="3" t="s">
        <v>13281</v>
      </c>
      <c r="BD1160" s="3" t="s">
        <v>13282</v>
      </c>
    </row>
    <row r="1161" spans="1:56" ht="44.25" customHeight="1" x14ac:dyDescent="0.25">
      <c r="A1161" s="7" t="s">
        <v>61</v>
      </c>
      <c r="B1161" s="2" t="s">
        <v>13283</v>
      </c>
      <c r="C1161" s="2" t="s">
        <v>13284</v>
      </c>
      <c r="D1161" s="2" t="s">
        <v>13285</v>
      </c>
      <c r="F1161" s="3" t="s">
        <v>61</v>
      </c>
      <c r="G1161" s="3" t="s">
        <v>60</v>
      </c>
      <c r="H1161" s="3" t="s">
        <v>61</v>
      </c>
      <c r="I1161" s="3" t="s">
        <v>61</v>
      </c>
      <c r="J1161" s="3" t="s">
        <v>62</v>
      </c>
      <c r="K1161" s="2" t="s">
        <v>13286</v>
      </c>
      <c r="L1161" s="2" t="s">
        <v>13287</v>
      </c>
      <c r="M1161" s="3" t="s">
        <v>451</v>
      </c>
      <c r="O1161" s="3" t="s">
        <v>114</v>
      </c>
      <c r="P1161" s="3" t="s">
        <v>235</v>
      </c>
      <c r="R1161" s="3" t="s">
        <v>68</v>
      </c>
      <c r="S1161" s="4">
        <v>3</v>
      </c>
      <c r="T1161" s="4">
        <v>3</v>
      </c>
      <c r="U1161" s="5" t="s">
        <v>12638</v>
      </c>
      <c r="V1161" s="5" t="s">
        <v>12638</v>
      </c>
      <c r="W1161" s="5" t="s">
        <v>12638</v>
      </c>
      <c r="X1161" s="5" t="s">
        <v>12638</v>
      </c>
      <c r="Y1161" s="4">
        <v>397</v>
      </c>
      <c r="Z1161" s="4">
        <v>328</v>
      </c>
      <c r="AA1161" s="4">
        <v>617</v>
      </c>
      <c r="AB1161" s="4">
        <v>4</v>
      </c>
      <c r="AC1161" s="4">
        <v>5</v>
      </c>
      <c r="AD1161" s="4">
        <v>20</v>
      </c>
      <c r="AE1161" s="4">
        <v>33</v>
      </c>
      <c r="AF1161" s="4">
        <v>5</v>
      </c>
      <c r="AG1161" s="4">
        <v>12</v>
      </c>
      <c r="AH1161" s="4">
        <v>7</v>
      </c>
      <c r="AI1161" s="4">
        <v>11</v>
      </c>
      <c r="AJ1161" s="4">
        <v>10</v>
      </c>
      <c r="AK1161" s="4">
        <v>17</v>
      </c>
      <c r="AL1161" s="4">
        <v>3</v>
      </c>
      <c r="AM1161" s="4">
        <v>4</v>
      </c>
      <c r="AN1161" s="4">
        <v>0</v>
      </c>
      <c r="AO1161" s="4">
        <v>0</v>
      </c>
      <c r="AP1161" s="3" t="s">
        <v>61</v>
      </c>
      <c r="AQ1161" s="3" t="s">
        <v>59</v>
      </c>
      <c r="AR1161" s="6" t="str">
        <f>HYPERLINK("http://catalog.hathitrust.org/Record/004033688","HathiTrust Record")</f>
        <v>HathiTrust Record</v>
      </c>
      <c r="AS1161" s="6" t="str">
        <f>HYPERLINK("https://creighton-primo.hosted.exlibrisgroup.com/primo-explore/search?tab=default_tab&amp;search_scope=EVERYTHING&amp;vid=01CRU&amp;lang=en_US&amp;offset=0&amp;query=any,contains,991003354019702656","Catalog Record")</f>
        <v>Catalog Record</v>
      </c>
      <c r="AT1161" s="6" t="str">
        <f>HYPERLINK("http://www.worldcat.org/oclc/40396370","WorldCat Record")</f>
        <v>WorldCat Record</v>
      </c>
      <c r="AU1161" s="3" t="s">
        <v>13288</v>
      </c>
      <c r="AV1161" s="3" t="s">
        <v>13289</v>
      </c>
      <c r="AW1161" s="3" t="s">
        <v>13290</v>
      </c>
      <c r="AX1161" s="3" t="s">
        <v>13290</v>
      </c>
      <c r="AY1161" s="3" t="s">
        <v>13291</v>
      </c>
      <c r="AZ1161" s="3" t="s">
        <v>75</v>
      </c>
      <c r="BB1161" s="3" t="s">
        <v>13292</v>
      </c>
      <c r="BC1161" s="3" t="s">
        <v>13293</v>
      </c>
      <c r="BD1161" s="3" t="s">
        <v>13294</v>
      </c>
    </row>
    <row r="1162" spans="1:56" ht="44.25" customHeight="1" x14ac:dyDescent="0.25">
      <c r="A1162" s="7" t="s">
        <v>61</v>
      </c>
      <c r="B1162" s="2" t="s">
        <v>13295</v>
      </c>
      <c r="C1162" s="2" t="s">
        <v>13296</v>
      </c>
      <c r="D1162" s="2" t="s">
        <v>13297</v>
      </c>
      <c r="F1162" s="3" t="s">
        <v>61</v>
      </c>
      <c r="G1162" s="3" t="s">
        <v>60</v>
      </c>
      <c r="H1162" s="3" t="s">
        <v>61</v>
      </c>
      <c r="I1162" s="3" t="s">
        <v>61</v>
      </c>
      <c r="J1162" s="3" t="s">
        <v>62</v>
      </c>
      <c r="K1162" s="2" t="s">
        <v>13298</v>
      </c>
      <c r="L1162" s="2" t="s">
        <v>13299</v>
      </c>
      <c r="M1162" s="3" t="s">
        <v>536</v>
      </c>
      <c r="O1162" s="3" t="s">
        <v>114</v>
      </c>
      <c r="P1162" s="3" t="s">
        <v>235</v>
      </c>
      <c r="Q1162" s="2" t="s">
        <v>13300</v>
      </c>
      <c r="R1162" s="3" t="s">
        <v>68</v>
      </c>
      <c r="S1162" s="4">
        <v>6</v>
      </c>
      <c r="T1162" s="4">
        <v>6</v>
      </c>
      <c r="U1162" s="5" t="s">
        <v>3180</v>
      </c>
      <c r="V1162" s="5" t="s">
        <v>3180</v>
      </c>
      <c r="W1162" s="5" t="s">
        <v>13301</v>
      </c>
      <c r="X1162" s="5" t="s">
        <v>13301</v>
      </c>
      <c r="Y1162" s="4">
        <v>495</v>
      </c>
      <c r="Z1162" s="4">
        <v>403</v>
      </c>
      <c r="AA1162" s="4">
        <v>429</v>
      </c>
      <c r="AB1162" s="4">
        <v>4</v>
      </c>
      <c r="AC1162" s="4">
        <v>4</v>
      </c>
      <c r="AD1162" s="4">
        <v>19</v>
      </c>
      <c r="AE1162" s="4">
        <v>19</v>
      </c>
      <c r="AF1162" s="4">
        <v>4</v>
      </c>
      <c r="AG1162" s="4">
        <v>4</v>
      </c>
      <c r="AH1162" s="4">
        <v>7</v>
      </c>
      <c r="AI1162" s="4">
        <v>7</v>
      </c>
      <c r="AJ1162" s="4">
        <v>8</v>
      </c>
      <c r="AK1162" s="4">
        <v>8</v>
      </c>
      <c r="AL1162" s="4">
        <v>3</v>
      </c>
      <c r="AM1162" s="4">
        <v>3</v>
      </c>
      <c r="AN1162" s="4">
        <v>0</v>
      </c>
      <c r="AO1162" s="4">
        <v>0</v>
      </c>
      <c r="AP1162" s="3" t="s">
        <v>61</v>
      </c>
      <c r="AQ1162" s="3" t="s">
        <v>61</v>
      </c>
      <c r="AS1162" s="6" t="str">
        <f>HYPERLINK("https://creighton-primo.hosted.exlibrisgroup.com/primo-explore/search?tab=default_tab&amp;search_scope=EVERYTHING&amp;vid=01CRU&amp;lang=en_US&amp;offset=0&amp;query=any,contains,991002761909702656","Catalog Record")</f>
        <v>Catalog Record</v>
      </c>
      <c r="AT1162" s="6" t="str">
        <f>HYPERLINK("http://www.worldcat.org/oclc/36225431","WorldCat Record")</f>
        <v>WorldCat Record</v>
      </c>
      <c r="AU1162" s="3" t="s">
        <v>13302</v>
      </c>
      <c r="AV1162" s="3" t="s">
        <v>13303</v>
      </c>
      <c r="AW1162" s="3" t="s">
        <v>13304</v>
      </c>
      <c r="AX1162" s="3" t="s">
        <v>13304</v>
      </c>
      <c r="AY1162" s="3" t="s">
        <v>13305</v>
      </c>
      <c r="AZ1162" s="3" t="s">
        <v>75</v>
      </c>
      <c r="BB1162" s="3" t="s">
        <v>13306</v>
      </c>
      <c r="BC1162" s="3" t="s">
        <v>13307</v>
      </c>
      <c r="BD1162" s="3" t="s">
        <v>13308</v>
      </c>
    </row>
    <row r="1163" spans="1:56" ht="44.25" customHeight="1" x14ac:dyDescent="0.25">
      <c r="A1163" s="7" t="s">
        <v>61</v>
      </c>
      <c r="B1163" s="2" t="s">
        <v>13309</v>
      </c>
      <c r="C1163" s="2" t="s">
        <v>13310</v>
      </c>
      <c r="D1163" s="2" t="s">
        <v>13311</v>
      </c>
      <c r="F1163" s="3" t="s">
        <v>61</v>
      </c>
      <c r="G1163" s="3" t="s">
        <v>60</v>
      </c>
      <c r="H1163" s="3" t="s">
        <v>61</v>
      </c>
      <c r="I1163" s="3" t="s">
        <v>61</v>
      </c>
      <c r="J1163" s="3" t="s">
        <v>62</v>
      </c>
      <c r="K1163" s="2" t="s">
        <v>13312</v>
      </c>
      <c r="L1163" s="2" t="s">
        <v>13313</v>
      </c>
      <c r="M1163" s="3" t="s">
        <v>220</v>
      </c>
      <c r="O1163" s="3" t="s">
        <v>114</v>
      </c>
      <c r="P1163" s="3" t="s">
        <v>12688</v>
      </c>
      <c r="R1163" s="3" t="s">
        <v>68</v>
      </c>
      <c r="S1163" s="4">
        <v>5</v>
      </c>
      <c r="T1163" s="4">
        <v>5</v>
      </c>
      <c r="U1163" s="5" t="s">
        <v>13314</v>
      </c>
      <c r="V1163" s="5" t="s">
        <v>13314</v>
      </c>
      <c r="W1163" s="5" t="s">
        <v>13315</v>
      </c>
      <c r="X1163" s="5" t="s">
        <v>13315</v>
      </c>
      <c r="Y1163" s="4">
        <v>342</v>
      </c>
      <c r="Z1163" s="4">
        <v>257</v>
      </c>
      <c r="AA1163" s="4">
        <v>292</v>
      </c>
      <c r="AB1163" s="4">
        <v>2</v>
      </c>
      <c r="AC1163" s="4">
        <v>2</v>
      </c>
      <c r="AD1163" s="4">
        <v>16</v>
      </c>
      <c r="AE1163" s="4">
        <v>16</v>
      </c>
      <c r="AF1163" s="4">
        <v>5</v>
      </c>
      <c r="AG1163" s="4">
        <v>5</v>
      </c>
      <c r="AH1163" s="4">
        <v>4</v>
      </c>
      <c r="AI1163" s="4">
        <v>4</v>
      </c>
      <c r="AJ1163" s="4">
        <v>9</v>
      </c>
      <c r="AK1163" s="4">
        <v>9</v>
      </c>
      <c r="AL1163" s="4">
        <v>1</v>
      </c>
      <c r="AM1163" s="4">
        <v>1</v>
      </c>
      <c r="AN1163" s="4">
        <v>2</v>
      </c>
      <c r="AO1163" s="4">
        <v>2</v>
      </c>
      <c r="AP1163" s="3" t="s">
        <v>61</v>
      </c>
      <c r="AQ1163" s="3" t="s">
        <v>59</v>
      </c>
      <c r="AR1163" s="6" t="str">
        <f>HYPERLINK("http://catalog.hathitrust.org/Record/004268395","HathiTrust Record")</f>
        <v>HathiTrust Record</v>
      </c>
      <c r="AS1163" s="6" t="str">
        <f>HYPERLINK("https://creighton-primo.hosted.exlibrisgroup.com/primo-explore/search?tab=default_tab&amp;search_scope=EVERYTHING&amp;vid=01CRU&amp;lang=en_US&amp;offset=0&amp;query=any,contains,991004060609702656","Catalog Record")</f>
        <v>Catalog Record</v>
      </c>
      <c r="AT1163" s="6" t="str">
        <f>HYPERLINK("http://www.worldcat.org/oclc/49415640","WorldCat Record")</f>
        <v>WorldCat Record</v>
      </c>
      <c r="AU1163" s="3" t="s">
        <v>13316</v>
      </c>
      <c r="AV1163" s="3" t="s">
        <v>13317</v>
      </c>
      <c r="AW1163" s="3" t="s">
        <v>13318</v>
      </c>
      <c r="AX1163" s="3" t="s">
        <v>13318</v>
      </c>
      <c r="AY1163" s="3" t="s">
        <v>13319</v>
      </c>
      <c r="AZ1163" s="3" t="s">
        <v>75</v>
      </c>
      <c r="BB1163" s="3" t="s">
        <v>13320</v>
      </c>
      <c r="BC1163" s="3" t="s">
        <v>13321</v>
      </c>
      <c r="BD1163" s="3" t="s">
        <v>13322</v>
      </c>
    </row>
    <row r="1164" spans="1:56" ht="44.25" customHeight="1" x14ac:dyDescent="0.25">
      <c r="A1164" s="7" t="s">
        <v>61</v>
      </c>
      <c r="B1164" s="2" t="s">
        <v>13323</v>
      </c>
      <c r="C1164" s="2" t="s">
        <v>13324</v>
      </c>
      <c r="D1164" s="2" t="s">
        <v>13325</v>
      </c>
      <c r="F1164" s="3" t="s">
        <v>61</v>
      </c>
      <c r="G1164" s="3" t="s">
        <v>60</v>
      </c>
      <c r="H1164" s="3" t="s">
        <v>61</v>
      </c>
      <c r="I1164" s="3" t="s">
        <v>61</v>
      </c>
      <c r="J1164" s="3" t="s">
        <v>62</v>
      </c>
      <c r="K1164" s="2" t="s">
        <v>13326</v>
      </c>
      <c r="L1164" s="2" t="s">
        <v>13327</v>
      </c>
      <c r="M1164" s="3" t="s">
        <v>249</v>
      </c>
      <c r="O1164" s="3" t="s">
        <v>114</v>
      </c>
      <c r="P1164" s="3" t="s">
        <v>192</v>
      </c>
      <c r="R1164" s="3" t="s">
        <v>68</v>
      </c>
      <c r="S1164" s="4">
        <v>4</v>
      </c>
      <c r="T1164" s="4">
        <v>4</v>
      </c>
      <c r="U1164" s="5" t="s">
        <v>4901</v>
      </c>
      <c r="V1164" s="5" t="s">
        <v>4901</v>
      </c>
      <c r="W1164" s="5" t="s">
        <v>13328</v>
      </c>
      <c r="X1164" s="5" t="s">
        <v>13328</v>
      </c>
      <c r="Y1164" s="4">
        <v>1276</v>
      </c>
      <c r="Z1164" s="4">
        <v>1046</v>
      </c>
      <c r="AA1164" s="4">
        <v>1097</v>
      </c>
      <c r="AB1164" s="4">
        <v>7</v>
      </c>
      <c r="AC1164" s="4">
        <v>7</v>
      </c>
      <c r="AD1164" s="4">
        <v>46</v>
      </c>
      <c r="AE1164" s="4">
        <v>48</v>
      </c>
      <c r="AF1164" s="4">
        <v>17</v>
      </c>
      <c r="AG1164" s="4">
        <v>19</v>
      </c>
      <c r="AH1164" s="4">
        <v>9</v>
      </c>
      <c r="AI1164" s="4">
        <v>10</v>
      </c>
      <c r="AJ1164" s="4">
        <v>17</v>
      </c>
      <c r="AK1164" s="4">
        <v>17</v>
      </c>
      <c r="AL1164" s="4">
        <v>6</v>
      </c>
      <c r="AM1164" s="4">
        <v>6</v>
      </c>
      <c r="AN1164" s="4">
        <v>7</v>
      </c>
      <c r="AO1164" s="4">
        <v>7</v>
      </c>
      <c r="AP1164" s="3" t="s">
        <v>61</v>
      </c>
      <c r="AQ1164" s="3" t="s">
        <v>59</v>
      </c>
      <c r="AR1164" s="6" t="str">
        <f>HYPERLINK("http://catalog.hathitrust.org/Record/002630842","HathiTrust Record")</f>
        <v>HathiTrust Record</v>
      </c>
      <c r="AS1164" s="6" t="str">
        <f>HYPERLINK("https://creighton-primo.hosted.exlibrisgroup.com/primo-explore/search?tab=default_tab&amp;search_scope=EVERYTHING&amp;vid=01CRU&amp;lang=en_US&amp;offset=0&amp;query=any,contains,991002119319702656","Catalog Record")</f>
        <v>Catalog Record</v>
      </c>
      <c r="AT1164" s="6" t="str">
        <f>HYPERLINK("http://www.worldcat.org/oclc/27171748","WorldCat Record")</f>
        <v>WorldCat Record</v>
      </c>
      <c r="AU1164" s="3" t="s">
        <v>13329</v>
      </c>
      <c r="AV1164" s="3" t="s">
        <v>13330</v>
      </c>
      <c r="AW1164" s="3" t="s">
        <v>13331</v>
      </c>
      <c r="AX1164" s="3" t="s">
        <v>13331</v>
      </c>
      <c r="AY1164" s="3" t="s">
        <v>13332</v>
      </c>
      <c r="AZ1164" s="3" t="s">
        <v>75</v>
      </c>
      <c r="BB1164" s="3" t="s">
        <v>13333</v>
      </c>
      <c r="BC1164" s="3" t="s">
        <v>13334</v>
      </c>
      <c r="BD1164" s="3" t="s">
        <v>13335</v>
      </c>
    </row>
    <row r="1165" spans="1:56" ht="44.25" customHeight="1" x14ac:dyDescent="0.25">
      <c r="A1165" s="7" t="s">
        <v>61</v>
      </c>
      <c r="B1165" s="2" t="s">
        <v>13336</v>
      </c>
      <c r="C1165" s="2" t="s">
        <v>13337</v>
      </c>
      <c r="D1165" s="2" t="s">
        <v>13338</v>
      </c>
      <c r="F1165" s="3" t="s">
        <v>61</v>
      </c>
      <c r="G1165" s="3" t="s">
        <v>60</v>
      </c>
      <c r="H1165" s="3" t="s">
        <v>61</v>
      </c>
      <c r="I1165" s="3" t="s">
        <v>61</v>
      </c>
      <c r="J1165" s="3" t="s">
        <v>62</v>
      </c>
      <c r="K1165" s="2" t="s">
        <v>13339</v>
      </c>
      <c r="L1165" s="2" t="s">
        <v>13340</v>
      </c>
      <c r="M1165" s="3" t="s">
        <v>2323</v>
      </c>
      <c r="O1165" s="3" t="s">
        <v>114</v>
      </c>
      <c r="P1165" s="3" t="s">
        <v>1361</v>
      </c>
      <c r="R1165" s="3" t="s">
        <v>68</v>
      </c>
      <c r="S1165" s="4">
        <v>3</v>
      </c>
      <c r="T1165" s="4">
        <v>3</v>
      </c>
      <c r="U1165" s="5" t="s">
        <v>13341</v>
      </c>
      <c r="V1165" s="5" t="s">
        <v>13341</v>
      </c>
      <c r="W1165" s="5" t="s">
        <v>13341</v>
      </c>
      <c r="X1165" s="5" t="s">
        <v>13341</v>
      </c>
      <c r="Y1165" s="4">
        <v>221</v>
      </c>
      <c r="Z1165" s="4">
        <v>156</v>
      </c>
      <c r="AA1165" s="4">
        <v>164</v>
      </c>
      <c r="AB1165" s="4">
        <v>1</v>
      </c>
      <c r="AC1165" s="4">
        <v>1</v>
      </c>
      <c r="AD1165" s="4">
        <v>10</v>
      </c>
      <c r="AE1165" s="4">
        <v>10</v>
      </c>
      <c r="AF1165" s="4">
        <v>3</v>
      </c>
      <c r="AG1165" s="4">
        <v>3</v>
      </c>
      <c r="AH1165" s="4">
        <v>3</v>
      </c>
      <c r="AI1165" s="4">
        <v>3</v>
      </c>
      <c r="AJ1165" s="4">
        <v>5</v>
      </c>
      <c r="AK1165" s="4">
        <v>5</v>
      </c>
      <c r="AL1165" s="4">
        <v>0</v>
      </c>
      <c r="AM1165" s="4">
        <v>0</v>
      </c>
      <c r="AN1165" s="4">
        <v>1</v>
      </c>
      <c r="AO1165" s="4">
        <v>1</v>
      </c>
      <c r="AP1165" s="3" t="s">
        <v>61</v>
      </c>
      <c r="AQ1165" s="3" t="s">
        <v>59</v>
      </c>
      <c r="AR1165" s="6" t="str">
        <f>HYPERLINK("http://catalog.hathitrust.org/Record/005255492","HathiTrust Record")</f>
        <v>HathiTrust Record</v>
      </c>
      <c r="AS1165" s="6" t="str">
        <f>HYPERLINK("https://creighton-primo.hosted.exlibrisgroup.com/primo-explore/search?tab=default_tab&amp;search_scope=EVERYTHING&amp;vid=01CRU&amp;lang=en_US&amp;offset=0&amp;query=any,contains,991004312389702656","Catalog Record")</f>
        <v>Catalog Record</v>
      </c>
      <c r="AT1165" s="6" t="str">
        <f>HYPERLINK("http://www.worldcat.org/oclc/54544585","WorldCat Record")</f>
        <v>WorldCat Record</v>
      </c>
      <c r="AU1165" s="3" t="s">
        <v>13342</v>
      </c>
      <c r="AV1165" s="3" t="s">
        <v>13343</v>
      </c>
      <c r="AW1165" s="3" t="s">
        <v>13344</v>
      </c>
      <c r="AX1165" s="3" t="s">
        <v>13344</v>
      </c>
      <c r="AY1165" s="3" t="s">
        <v>13345</v>
      </c>
      <c r="AZ1165" s="3" t="s">
        <v>75</v>
      </c>
      <c r="BB1165" s="3" t="s">
        <v>13346</v>
      </c>
      <c r="BC1165" s="3" t="s">
        <v>13347</v>
      </c>
      <c r="BD1165" s="3" t="s">
        <v>13348</v>
      </c>
    </row>
    <row r="1166" spans="1:56" ht="44.25" customHeight="1" x14ac:dyDescent="0.25">
      <c r="A1166" s="7" t="s">
        <v>61</v>
      </c>
      <c r="B1166" s="2" t="s">
        <v>13349</v>
      </c>
      <c r="C1166" s="2" t="s">
        <v>13350</v>
      </c>
      <c r="D1166" s="2" t="s">
        <v>13351</v>
      </c>
      <c r="F1166" s="3" t="s">
        <v>61</v>
      </c>
      <c r="G1166" s="3" t="s">
        <v>60</v>
      </c>
      <c r="H1166" s="3" t="s">
        <v>61</v>
      </c>
      <c r="I1166" s="3" t="s">
        <v>61</v>
      </c>
      <c r="J1166" s="3" t="s">
        <v>62</v>
      </c>
      <c r="K1166" s="2" t="s">
        <v>13352</v>
      </c>
      <c r="L1166" s="2" t="s">
        <v>13353</v>
      </c>
      <c r="M1166" s="3" t="s">
        <v>1465</v>
      </c>
      <c r="O1166" s="3" t="s">
        <v>114</v>
      </c>
      <c r="P1166" s="3" t="s">
        <v>235</v>
      </c>
      <c r="R1166" s="3" t="s">
        <v>68</v>
      </c>
      <c r="S1166" s="4">
        <v>8</v>
      </c>
      <c r="T1166" s="4">
        <v>8</v>
      </c>
      <c r="U1166" s="5" t="s">
        <v>5953</v>
      </c>
      <c r="V1166" s="5" t="s">
        <v>5953</v>
      </c>
      <c r="W1166" s="5" t="s">
        <v>11145</v>
      </c>
      <c r="X1166" s="5" t="s">
        <v>11145</v>
      </c>
      <c r="Y1166" s="4">
        <v>305</v>
      </c>
      <c r="Z1166" s="4">
        <v>234</v>
      </c>
      <c r="AA1166" s="4">
        <v>312</v>
      </c>
      <c r="AB1166" s="4">
        <v>2</v>
      </c>
      <c r="AC1166" s="4">
        <v>2</v>
      </c>
      <c r="AD1166" s="4">
        <v>8</v>
      </c>
      <c r="AE1166" s="4">
        <v>10</v>
      </c>
      <c r="AF1166" s="4">
        <v>1</v>
      </c>
      <c r="AG1166" s="4">
        <v>3</v>
      </c>
      <c r="AH1166" s="4">
        <v>4</v>
      </c>
      <c r="AI1166" s="4">
        <v>5</v>
      </c>
      <c r="AJ1166" s="4">
        <v>5</v>
      </c>
      <c r="AK1166" s="4">
        <v>6</v>
      </c>
      <c r="AL1166" s="4">
        <v>1</v>
      </c>
      <c r="AM1166" s="4">
        <v>1</v>
      </c>
      <c r="AN1166" s="4">
        <v>0</v>
      </c>
      <c r="AO1166" s="4">
        <v>0</v>
      </c>
      <c r="AP1166" s="3" t="s">
        <v>61</v>
      </c>
      <c r="AQ1166" s="3" t="s">
        <v>59</v>
      </c>
      <c r="AR1166" s="6" t="str">
        <f>HYPERLINK("http://catalog.hathitrust.org/Record/002533285","HathiTrust Record")</f>
        <v>HathiTrust Record</v>
      </c>
      <c r="AS1166" s="6" t="str">
        <f>HYPERLINK("https://creighton-primo.hosted.exlibrisgroup.com/primo-explore/search?tab=default_tab&amp;search_scope=EVERYTHING&amp;vid=01CRU&amp;lang=en_US&amp;offset=0&amp;query=any,contains,991001851109702656","Catalog Record")</f>
        <v>Catalog Record</v>
      </c>
      <c r="AT1166" s="6" t="str">
        <f>HYPERLINK("http://www.worldcat.org/oclc/23220791","WorldCat Record")</f>
        <v>WorldCat Record</v>
      </c>
      <c r="AU1166" s="3" t="s">
        <v>13354</v>
      </c>
      <c r="AV1166" s="3" t="s">
        <v>13355</v>
      </c>
      <c r="AW1166" s="3" t="s">
        <v>13356</v>
      </c>
      <c r="AX1166" s="3" t="s">
        <v>13356</v>
      </c>
      <c r="AY1166" s="3" t="s">
        <v>13357</v>
      </c>
      <c r="AZ1166" s="3" t="s">
        <v>75</v>
      </c>
      <c r="BB1166" s="3" t="s">
        <v>13358</v>
      </c>
      <c r="BC1166" s="3" t="s">
        <v>13359</v>
      </c>
      <c r="BD1166" s="3" t="s">
        <v>13360</v>
      </c>
    </row>
    <row r="1167" spans="1:56" ht="44.25" customHeight="1" x14ac:dyDescent="0.25">
      <c r="A1167" s="7" t="s">
        <v>61</v>
      </c>
      <c r="B1167" s="2" t="s">
        <v>13361</v>
      </c>
      <c r="C1167" s="2" t="s">
        <v>13362</v>
      </c>
      <c r="D1167" s="2" t="s">
        <v>13363</v>
      </c>
      <c r="F1167" s="3" t="s">
        <v>61</v>
      </c>
      <c r="G1167" s="3" t="s">
        <v>60</v>
      </c>
      <c r="H1167" s="3" t="s">
        <v>61</v>
      </c>
      <c r="I1167" s="3" t="s">
        <v>61</v>
      </c>
      <c r="J1167" s="3" t="s">
        <v>62</v>
      </c>
      <c r="L1167" s="2" t="s">
        <v>13364</v>
      </c>
      <c r="M1167" s="3" t="s">
        <v>422</v>
      </c>
      <c r="O1167" s="3" t="s">
        <v>114</v>
      </c>
      <c r="P1167" s="3" t="s">
        <v>192</v>
      </c>
      <c r="R1167" s="3" t="s">
        <v>68</v>
      </c>
      <c r="S1167" s="4">
        <v>2</v>
      </c>
      <c r="T1167" s="4">
        <v>2</v>
      </c>
      <c r="U1167" s="5" t="s">
        <v>13173</v>
      </c>
      <c r="V1167" s="5" t="s">
        <v>13173</v>
      </c>
      <c r="W1167" s="5" t="s">
        <v>13365</v>
      </c>
      <c r="X1167" s="5" t="s">
        <v>13365</v>
      </c>
      <c r="Y1167" s="4">
        <v>401</v>
      </c>
      <c r="Z1167" s="4">
        <v>256</v>
      </c>
      <c r="AA1167" s="4">
        <v>267</v>
      </c>
      <c r="AB1167" s="4">
        <v>3</v>
      </c>
      <c r="AC1167" s="4">
        <v>3</v>
      </c>
      <c r="AD1167" s="4">
        <v>18</v>
      </c>
      <c r="AE1167" s="4">
        <v>18</v>
      </c>
      <c r="AF1167" s="4">
        <v>5</v>
      </c>
      <c r="AG1167" s="4">
        <v>5</v>
      </c>
      <c r="AH1167" s="4">
        <v>4</v>
      </c>
      <c r="AI1167" s="4">
        <v>4</v>
      </c>
      <c r="AJ1167" s="4">
        <v>12</v>
      </c>
      <c r="AK1167" s="4">
        <v>12</v>
      </c>
      <c r="AL1167" s="4">
        <v>2</v>
      </c>
      <c r="AM1167" s="4">
        <v>2</v>
      </c>
      <c r="AN1167" s="4">
        <v>0</v>
      </c>
      <c r="AO1167" s="4">
        <v>0</v>
      </c>
      <c r="AP1167" s="3" t="s">
        <v>61</v>
      </c>
      <c r="AQ1167" s="3" t="s">
        <v>61</v>
      </c>
      <c r="AS1167" s="6" t="str">
        <f>HYPERLINK("https://creighton-primo.hosted.exlibrisgroup.com/primo-explore/search?tab=default_tab&amp;search_scope=EVERYTHING&amp;vid=01CRU&amp;lang=en_US&amp;offset=0&amp;query=any,contains,991002865029702656","Catalog Record")</f>
        <v>Catalog Record</v>
      </c>
      <c r="AT1167" s="6" t="str">
        <f>HYPERLINK("http://www.worldcat.org/oclc/37761900","WorldCat Record")</f>
        <v>WorldCat Record</v>
      </c>
      <c r="AU1167" s="3" t="s">
        <v>13366</v>
      </c>
      <c r="AV1167" s="3" t="s">
        <v>13367</v>
      </c>
      <c r="AW1167" s="3" t="s">
        <v>13368</v>
      </c>
      <c r="AX1167" s="3" t="s">
        <v>13368</v>
      </c>
      <c r="AY1167" s="3" t="s">
        <v>13369</v>
      </c>
      <c r="AZ1167" s="3" t="s">
        <v>75</v>
      </c>
      <c r="BB1167" s="3" t="s">
        <v>13370</v>
      </c>
      <c r="BC1167" s="3" t="s">
        <v>13371</v>
      </c>
      <c r="BD1167" s="3" t="s">
        <v>13372</v>
      </c>
    </row>
    <row r="1168" spans="1:56" ht="44.25" customHeight="1" x14ac:dyDescent="0.25">
      <c r="A1168" s="7" t="s">
        <v>61</v>
      </c>
      <c r="B1168" s="2" t="s">
        <v>13373</v>
      </c>
      <c r="C1168" s="2" t="s">
        <v>13374</v>
      </c>
      <c r="D1168" s="2" t="s">
        <v>13375</v>
      </c>
      <c r="F1168" s="3" t="s">
        <v>61</v>
      </c>
      <c r="G1168" s="3" t="s">
        <v>60</v>
      </c>
      <c r="H1168" s="3" t="s">
        <v>61</v>
      </c>
      <c r="I1168" s="3" t="s">
        <v>61</v>
      </c>
      <c r="J1168" s="3" t="s">
        <v>62</v>
      </c>
      <c r="K1168" s="2" t="s">
        <v>13376</v>
      </c>
      <c r="L1168" s="2" t="s">
        <v>13377</v>
      </c>
      <c r="M1168" s="3" t="s">
        <v>495</v>
      </c>
      <c r="N1168" s="2" t="s">
        <v>13378</v>
      </c>
      <c r="O1168" s="3" t="s">
        <v>4665</v>
      </c>
      <c r="P1168" s="3" t="s">
        <v>13379</v>
      </c>
      <c r="Q1168" s="2" t="s">
        <v>13380</v>
      </c>
      <c r="R1168" s="3" t="s">
        <v>68</v>
      </c>
      <c r="S1168" s="4">
        <v>0</v>
      </c>
      <c r="T1168" s="4">
        <v>0</v>
      </c>
      <c r="U1168" s="5" t="s">
        <v>13381</v>
      </c>
      <c r="V1168" s="5" t="s">
        <v>13381</v>
      </c>
      <c r="W1168" s="5" t="s">
        <v>13382</v>
      </c>
      <c r="X1168" s="5" t="s">
        <v>13382</v>
      </c>
      <c r="Y1168" s="4">
        <v>89</v>
      </c>
      <c r="Z1168" s="4">
        <v>71</v>
      </c>
      <c r="AA1168" s="4">
        <v>72</v>
      </c>
      <c r="AB1168" s="4">
        <v>1</v>
      </c>
      <c r="AC1168" s="4">
        <v>1</v>
      </c>
      <c r="AD1168" s="4">
        <v>1</v>
      </c>
      <c r="AE1168" s="4">
        <v>2</v>
      </c>
      <c r="AF1168" s="4">
        <v>0</v>
      </c>
      <c r="AG1168" s="4">
        <v>0</v>
      </c>
      <c r="AH1168" s="4">
        <v>0</v>
      </c>
      <c r="AI1168" s="4">
        <v>1</v>
      </c>
      <c r="AJ1168" s="4">
        <v>1</v>
      </c>
      <c r="AK1168" s="4">
        <v>2</v>
      </c>
      <c r="AL1168" s="4">
        <v>0</v>
      </c>
      <c r="AM1168" s="4">
        <v>0</v>
      </c>
      <c r="AN1168" s="4">
        <v>0</v>
      </c>
      <c r="AO1168" s="4">
        <v>0</v>
      </c>
      <c r="AP1168" s="3" t="s">
        <v>61</v>
      </c>
      <c r="AQ1168" s="3" t="s">
        <v>61</v>
      </c>
      <c r="AS1168" s="6" t="str">
        <f>HYPERLINK("https://creighton-primo.hosted.exlibrisgroup.com/primo-explore/search?tab=default_tab&amp;search_scope=EVERYTHING&amp;vid=01CRU&amp;lang=en_US&amp;offset=0&amp;query=any,contains,991002802049702656","Catalog Record")</f>
        <v>Catalog Record</v>
      </c>
      <c r="AT1168" s="6" t="str">
        <f>HYPERLINK("http://www.worldcat.org/oclc/36807059","WorldCat Record")</f>
        <v>WorldCat Record</v>
      </c>
      <c r="AU1168" s="3" t="s">
        <v>13383</v>
      </c>
      <c r="AV1168" s="3" t="s">
        <v>13384</v>
      </c>
      <c r="AW1168" s="3" t="s">
        <v>13385</v>
      </c>
      <c r="AX1168" s="3" t="s">
        <v>13385</v>
      </c>
      <c r="AY1168" s="3" t="s">
        <v>13386</v>
      </c>
      <c r="AZ1168" s="3" t="s">
        <v>75</v>
      </c>
      <c r="BB1168" s="3" t="s">
        <v>13387</v>
      </c>
      <c r="BC1168" s="3" t="s">
        <v>13388</v>
      </c>
      <c r="BD1168" s="3" t="s">
        <v>13389</v>
      </c>
    </row>
    <row r="1169" spans="1:56" ht="44.25" customHeight="1" x14ac:dyDescent="0.25">
      <c r="A1169" s="7" t="s">
        <v>61</v>
      </c>
      <c r="B1169" s="2" t="s">
        <v>13390</v>
      </c>
      <c r="C1169" s="2" t="s">
        <v>13391</v>
      </c>
      <c r="D1169" s="2" t="s">
        <v>13392</v>
      </c>
      <c r="F1169" s="3" t="s">
        <v>61</v>
      </c>
      <c r="G1169" s="3" t="s">
        <v>60</v>
      </c>
      <c r="H1169" s="3" t="s">
        <v>61</v>
      </c>
      <c r="I1169" s="3" t="s">
        <v>61</v>
      </c>
      <c r="J1169" s="3" t="s">
        <v>62</v>
      </c>
      <c r="K1169" s="2" t="s">
        <v>13393</v>
      </c>
      <c r="L1169" s="2" t="s">
        <v>13394</v>
      </c>
      <c r="M1169" s="3" t="s">
        <v>2391</v>
      </c>
      <c r="O1169" s="3" t="s">
        <v>114</v>
      </c>
      <c r="P1169" s="3" t="s">
        <v>192</v>
      </c>
      <c r="Q1169" s="2" t="s">
        <v>13395</v>
      </c>
      <c r="R1169" s="3" t="s">
        <v>68</v>
      </c>
      <c r="S1169" s="4">
        <v>3</v>
      </c>
      <c r="T1169" s="4">
        <v>3</v>
      </c>
      <c r="U1169" s="5" t="s">
        <v>13396</v>
      </c>
      <c r="V1169" s="5" t="s">
        <v>13396</v>
      </c>
      <c r="W1169" s="5" t="s">
        <v>13397</v>
      </c>
      <c r="X1169" s="5" t="s">
        <v>13397</v>
      </c>
      <c r="Y1169" s="4">
        <v>330</v>
      </c>
      <c r="Z1169" s="4">
        <v>279</v>
      </c>
      <c r="AA1169" s="4">
        <v>418</v>
      </c>
      <c r="AB1169" s="4">
        <v>5</v>
      </c>
      <c r="AC1169" s="4">
        <v>5</v>
      </c>
      <c r="AD1169" s="4">
        <v>18</v>
      </c>
      <c r="AE1169" s="4">
        <v>23</v>
      </c>
      <c r="AF1169" s="4">
        <v>10</v>
      </c>
      <c r="AG1169" s="4">
        <v>12</v>
      </c>
      <c r="AH1169" s="4">
        <v>3</v>
      </c>
      <c r="AI1169" s="4">
        <v>5</v>
      </c>
      <c r="AJ1169" s="4">
        <v>5</v>
      </c>
      <c r="AK1169" s="4">
        <v>8</v>
      </c>
      <c r="AL1169" s="4">
        <v>4</v>
      </c>
      <c r="AM1169" s="4">
        <v>4</v>
      </c>
      <c r="AN1169" s="4">
        <v>0</v>
      </c>
      <c r="AO1169" s="4">
        <v>0</v>
      </c>
      <c r="AP1169" s="3" t="s">
        <v>61</v>
      </c>
      <c r="AQ1169" s="3" t="s">
        <v>61</v>
      </c>
      <c r="AS1169" s="6" t="str">
        <f>HYPERLINK("https://creighton-primo.hosted.exlibrisgroup.com/primo-explore/search?tab=default_tab&amp;search_scope=EVERYTHING&amp;vid=01CRU&amp;lang=en_US&amp;offset=0&amp;query=any,contains,991003842819702656","Catalog Record")</f>
        <v>Catalog Record</v>
      </c>
      <c r="AT1169" s="6" t="str">
        <f>HYPERLINK("http://www.worldcat.org/oclc/48154245","WorldCat Record")</f>
        <v>WorldCat Record</v>
      </c>
      <c r="AU1169" s="3" t="s">
        <v>13398</v>
      </c>
      <c r="AV1169" s="3" t="s">
        <v>13399</v>
      </c>
      <c r="AW1169" s="3" t="s">
        <v>13400</v>
      </c>
      <c r="AX1169" s="3" t="s">
        <v>13400</v>
      </c>
      <c r="AY1169" s="3" t="s">
        <v>13401</v>
      </c>
      <c r="AZ1169" s="3" t="s">
        <v>75</v>
      </c>
      <c r="BB1169" s="3" t="s">
        <v>13402</v>
      </c>
      <c r="BC1169" s="3" t="s">
        <v>13403</v>
      </c>
      <c r="BD1169" s="3" t="s">
        <v>13404</v>
      </c>
    </row>
    <row r="1170" spans="1:56" ht="44.25" customHeight="1" x14ac:dyDescent="0.25">
      <c r="A1170" s="7" t="s">
        <v>61</v>
      </c>
      <c r="B1170" s="2" t="s">
        <v>13405</v>
      </c>
      <c r="C1170" s="2" t="s">
        <v>13406</v>
      </c>
      <c r="D1170" s="2" t="s">
        <v>13407</v>
      </c>
      <c r="F1170" s="3" t="s">
        <v>61</v>
      </c>
      <c r="G1170" s="3" t="s">
        <v>60</v>
      </c>
      <c r="H1170" s="3" t="s">
        <v>61</v>
      </c>
      <c r="I1170" s="3" t="s">
        <v>61</v>
      </c>
      <c r="J1170" s="3" t="s">
        <v>62</v>
      </c>
      <c r="L1170" s="2" t="s">
        <v>13408</v>
      </c>
      <c r="M1170" s="3" t="s">
        <v>436</v>
      </c>
      <c r="O1170" s="3" t="s">
        <v>114</v>
      </c>
      <c r="P1170" s="3" t="s">
        <v>192</v>
      </c>
      <c r="Q1170" s="2" t="s">
        <v>13409</v>
      </c>
      <c r="R1170" s="3" t="s">
        <v>68</v>
      </c>
      <c r="S1170" s="4">
        <v>3</v>
      </c>
      <c r="T1170" s="4">
        <v>3</v>
      </c>
      <c r="U1170" s="5" t="s">
        <v>13410</v>
      </c>
      <c r="V1170" s="5" t="s">
        <v>13410</v>
      </c>
      <c r="W1170" s="5" t="s">
        <v>6928</v>
      </c>
      <c r="X1170" s="5" t="s">
        <v>6928</v>
      </c>
      <c r="Y1170" s="4">
        <v>439</v>
      </c>
      <c r="Z1170" s="4">
        <v>311</v>
      </c>
      <c r="AA1170" s="4">
        <v>318</v>
      </c>
      <c r="AB1170" s="4">
        <v>4</v>
      </c>
      <c r="AC1170" s="4">
        <v>4</v>
      </c>
      <c r="AD1170" s="4">
        <v>15</v>
      </c>
      <c r="AE1170" s="4">
        <v>15</v>
      </c>
      <c r="AF1170" s="4">
        <v>2</v>
      </c>
      <c r="AG1170" s="4">
        <v>2</v>
      </c>
      <c r="AH1170" s="4">
        <v>6</v>
      </c>
      <c r="AI1170" s="4">
        <v>6</v>
      </c>
      <c r="AJ1170" s="4">
        <v>8</v>
      </c>
      <c r="AK1170" s="4">
        <v>8</v>
      </c>
      <c r="AL1170" s="4">
        <v>3</v>
      </c>
      <c r="AM1170" s="4">
        <v>3</v>
      </c>
      <c r="AN1170" s="4">
        <v>0</v>
      </c>
      <c r="AO1170" s="4">
        <v>0</v>
      </c>
      <c r="AP1170" s="3" t="s">
        <v>61</v>
      </c>
      <c r="AQ1170" s="3" t="s">
        <v>61</v>
      </c>
      <c r="AS1170" s="6" t="str">
        <f>HYPERLINK("https://creighton-primo.hosted.exlibrisgroup.com/primo-explore/search?tab=default_tab&amp;search_scope=EVERYTHING&amp;vid=01CRU&amp;lang=en_US&amp;offset=0&amp;query=any,contains,991001465719702656","Catalog Record")</f>
        <v>Catalog Record</v>
      </c>
      <c r="AT1170" s="6" t="str">
        <f>HYPERLINK("http://www.worldcat.org/oclc/19511390","WorldCat Record")</f>
        <v>WorldCat Record</v>
      </c>
      <c r="AU1170" s="3" t="s">
        <v>13411</v>
      </c>
      <c r="AV1170" s="3" t="s">
        <v>13412</v>
      </c>
      <c r="AW1170" s="3" t="s">
        <v>13413</v>
      </c>
      <c r="AX1170" s="3" t="s">
        <v>13413</v>
      </c>
      <c r="AY1170" s="3" t="s">
        <v>13414</v>
      </c>
      <c r="AZ1170" s="3" t="s">
        <v>75</v>
      </c>
      <c r="BB1170" s="3" t="s">
        <v>13415</v>
      </c>
      <c r="BC1170" s="3" t="s">
        <v>13416</v>
      </c>
      <c r="BD1170" s="3" t="s">
        <v>13417</v>
      </c>
    </row>
    <row r="1171" spans="1:56" ht="44.25" customHeight="1" x14ac:dyDescent="0.25">
      <c r="A1171" s="7" t="s">
        <v>61</v>
      </c>
      <c r="B1171" s="2" t="s">
        <v>13418</v>
      </c>
      <c r="C1171" s="2" t="s">
        <v>13419</v>
      </c>
      <c r="D1171" s="2" t="s">
        <v>13420</v>
      </c>
      <c r="F1171" s="3" t="s">
        <v>61</v>
      </c>
      <c r="G1171" s="3" t="s">
        <v>60</v>
      </c>
      <c r="H1171" s="3" t="s">
        <v>61</v>
      </c>
      <c r="I1171" s="3" t="s">
        <v>61</v>
      </c>
      <c r="J1171" s="3" t="s">
        <v>62</v>
      </c>
      <c r="K1171" s="2" t="s">
        <v>13421</v>
      </c>
      <c r="L1171" s="2" t="s">
        <v>13422</v>
      </c>
      <c r="M1171" s="3" t="s">
        <v>1074</v>
      </c>
      <c r="O1171" s="3" t="s">
        <v>114</v>
      </c>
      <c r="P1171" s="3" t="s">
        <v>115</v>
      </c>
      <c r="R1171" s="3" t="s">
        <v>68</v>
      </c>
      <c r="S1171" s="4">
        <v>2</v>
      </c>
      <c r="T1171" s="4">
        <v>2</v>
      </c>
      <c r="U1171" s="5" t="s">
        <v>9208</v>
      </c>
      <c r="V1171" s="5" t="s">
        <v>9208</v>
      </c>
      <c r="W1171" s="5" t="s">
        <v>10753</v>
      </c>
      <c r="X1171" s="5" t="s">
        <v>10753</v>
      </c>
      <c r="Y1171" s="4">
        <v>326</v>
      </c>
      <c r="Z1171" s="4">
        <v>262</v>
      </c>
      <c r="AA1171" s="4">
        <v>269</v>
      </c>
      <c r="AB1171" s="4">
        <v>3</v>
      </c>
      <c r="AC1171" s="4">
        <v>3</v>
      </c>
      <c r="AD1171" s="4">
        <v>9</v>
      </c>
      <c r="AE1171" s="4">
        <v>9</v>
      </c>
      <c r="AF1171" s="4">
        <v>2</v>
      </c>
      <c r="AG1171" s="4">
        <v>2</v>
      </c>
      <c r="AH1171" s="4">
        <v>2</v>
      </c>
      <c r="AI1171" s="4">
        <v>2</v>
      </c>
      <c r="AJ1171" s="4">
        <v>6</v>
      </c>
      <c r="AK1171" s="4">
        <v>6</v>
      </c>
      <c r="AL1171" s="4">
        <v>2</v>
      </c>
      <c r="AM1171" s="4">
        <v>2</v>
      </c>
      <c r="AN1171" s="4">
        <v>0</v>
      </c>
      <c r="AO1171" s="4">
        <v>0</v>
      </c>
      <c r="AP1171" s="3" t="s">
        <v>61</v>
      </c>
      <c r="AQ1171" s="3" t="s">
        <v>59</v>
      </c>
      <c r="AR1171" s="6" t="str">
        <f>HYPERLINK("http://catalog.hathitrust.org/Record/000378411","HathiTrust Record")</f>
        <v>HathiTrust Record</v>
      </c>
      <c r="AS1171" s="6" t="str">
        <f>HYPERLINK("https://creighton-primo.hosted.exlibrisgroup.com/primo-explore/search?tab=default_tab&amp;search_scope=EVERYTHING&amp;vid=01CRU&amp;lang=en_US&amp;offset=0&amp;query=any,contains,991000649369702656","Catalog Record")</f>
        <v>Catalog Record</v>
      </c>
      <c r="AT1171" s="6" t="str">
        <f>HYPERLINK("http://www.worldcat.org/oclc/12160839","WorldCat Record")</f>
        <v>WorldCat Record</v>
      </c>
      <c r="AU1171" s="3" t="s">
        <v>13423</v>
      </c>
      <c r="AV1171" s="3" t="s">
        <v>13424</v>
      </c>
      <c r="AW1171" s="3" t="s">
        <v>13425</v>
      </c>
      <c r="AX1171" s="3" t="s">
        <v>13425</v>
      </c>
      <c r="AY1171" s="3" t="s">
        <v>13426</v>
      </c>
      <c r="AZ1171" s="3" t="s">
        <v>75</v>
      </c>
      <c r="BB1171" s="3" t="s">
        <v>13427</v>
      </c>
      <c r="BC1171" s="3" t="s">
        <v>13428</v>
      </c>
      <c r="BD1171" s="3" t="s">
        <v>13429</v>
      </c>
    </row>
    <row r="1172" spans="1:56" ht="44.25" customHeight="1" x14ac:dyDescent="0.25">
      <c r="A1172" s="7" t="s">
        <v>61</v>
      </c>
      <c r="B1172" s="2" t="s">
        <v>13430</v>
      </c>
      <c r="C1172" s="2" t="s">
        <v>13431</v>
      </c>
      <c r="D1172" s="2" t="s">
        <v>13432</v>
      </c>
      <c r="F1172" s="3" t="s">
        <v>61</v>
      </c>
      <c r="G1172" s="3" t="s">
        <v>60</v>
      </c>
      <c r="H1172" s="3" t="s">
        <v>61</v>
      </c>
      <c r="I1172" s="3" t="s">
        <v>61</v>
      </c>
      <c r="J1172" s="3" t="s">
        <v>62</v>
      </c>
      <c r="L1172" s="2" t="s">
        <v>11249</v>
      </c>
      <c r="M1172" s="3" t="s">
        <v>552</v>
      </c>
      <c r="O1172" s="3" t="s">
        <v>114</v>
      </c>
      <c r="P1172" s="3" t="s">
        <v>335</v>
      </c>
      <c r="Q1172" s="2" t="s">
        <v>13433</v>
      </c>
      <c r="R1172" s="3" t="s">
        <v>68</v>
      </c>
      <c r="S1172" s="4">
        <v>2</v>
      </c>
      <c r="T1172" s="4">
        <v>2</v>
      </c>
      <c r="U1172" s="5" t="s">
        <v>10916</v>
      </c>
      <c r="V1172" s="5" t="s">
        <v>10916</v>
      </c>
      <c r="W1172" s="5" t="s">
        <v>13434</v>
      </c>
      <c r="X1172" s="5" t="s">
        <v>13434</v>
      </c>
      <c r="Y1172" s="4">
        <v>465</v>
      </c>
      <c r="Z1172" s="4">
        <v>372</v>
      </c>
      <c r="AA1172" s="4">
        <v>391</v>
      </c>
      <c r="AB1172" s="4">
        <v>4</v>
      </c>
      <c r="AC1172" s="4">
        <v>4</v>
      </c>
      <c r="AD1172" s="4">
        <v>22</v>
      </c>
      <c r="AE1172" s="4">
        <v>22</v>
      </c>
      <c r="AF1172" s="4">
        <v>6</v>
      </c>
      <c r="AG1172" s="4">
        <v>6</v>
      </c>
      <c r="AH1172" s="4">
        <v>7</v>
      </c>
      <c r="AI1172" s="4">
        <v>7</v>
      </c>
      <c r="AJ1172" s="4">
        <v>13</v>
      </c>
      <c r="AK1172" s="4">
        <v>13</v>
      </c>
      <c r="AL1172" s="4">
        <v>3</v>
      </c>
      <c r="AM1172" s="4">
        <v>3</v>
      </c>
      <c r="AN1172" s="4">
        <v>0</v>
      </c>
      <c r="AO1172" s="4">
        <v>0</v>
      </c>
      <c r="AP1172" s="3" t="s">
        <v>61</v>
      </c>
      <c r="AQ1172" s="3" t="s">
        <v>59</v>
      </c>
      <c r="AR1172" s="6" t="str">
        <f>HYPERLINK("http://catalog.hathitrust.org/Record/001540270","HathiTrust Record")</f>
        <v>HathiTrust Record</v>
      </c>
      <c r="AS1172" s="6" t="str">
        <f>HYPERLINK("https://creighton-primo.hosted.exlibrisgroup.com/primo-explore/search?tab=default_tab&amp;search_scope=EVERYTHING&amp;vid=01CRU&amp;lang=en_US&amp;offset=0&amp;query=any,contains,991000035709702656","Catalog Record")</f>
        <v>Catalog Record</v>
      </c>
      <c r="AT1172" s="6" t="str">
        <f>HYPERLINK("http://www.worldcat.org/oclc/19322126","WorldCat Record")</f>
        <v>WorldCat Record</v>
      </c>
      <c r="AU1172" s="3" t="s">
        <v>13435</v>
      </c>
      <c r="AV1172" s="3" t="s">
        <v>13436</v>
      </c>
      <c r="AW1172" s="3" t="s">
        <v>13437</v>
      </c>
      <c r="AX1172" s="3" t="s">
        <v>13437</v>
      </c>
      <c r="AY1172" s="3" t="s">
        <v>13438</v>
      </c>
      <c r="AZ1172" s="3" t="s">
        <v>75</v>
      </c>
      <c r="BB1172" s="3" t="s">
        <v>13439</v>
      </c>
      <c r="BC1172" s="3" t="s">
        <v>13440</v>
      </c>
      <c r="BD1172" s="3" t="s">
        <v>13441</v>
      </c>
    </row>
    <row r="1173" spans="1:56" ht="44.25" customHeight="1" x14ac:dyDescent="0.25">
      <c r="A1173" s="7" t="s">
        <v>61</v>
      </c>
      <c r="B1173" s="2" t="s">
        <v>13442</v>
      </c>
      <c r="C1173" s="2" t="s">
        <v>13443</v>
      </c>
      <c r="D1173" s="2" t="s">
        <v>13444</v>
      </c>
      <c r="F1173" s="3" t="s">
        <v>61</v>
      </c>
      <c r="G1173" s="3" t="s">
        <v>60</v>
      </c>
      <c r="H1173" s="3" t="s">
        <v>61</v>
      </c>
      <c r="I1173" s="3" t="s">
        <v>61</v>
      </c>
      <c r="J1173" s="3" t="s">
        <v>62</v>
      </c>
      <c r="L1173" s="2" t="s">
        <v>13445</v>
      </c>
      <c r="M1173" s="3" t="s">
        <v>1074</v>
      </c>
      <c r="O1173" s="3" t="s">
        <v>114</v>
      </c>
      <c r="P1173" s="3" t="s">
        <v>235</v>
      </c>
      <c r="Q1173" s="2" t="s">
        <v>13446</v>
      </c>
      <c r="R1173" s="3" t="s">
        <v>68</v>
      </c>
      <c r="S1173" s="4">
        <v>3</v>
      </c>
      <c r="T1173" s="4">
        <v>3</v>
      </c>
      <c r="U1173" s="5" t="s">
        <v>9936</v>
      </c>
      <c r="V1173" s="5" t="s">
        <v>9936</v>
      </c>
      <c r="W1173" s="5" t="s">
        <v>12512</v>
      </c>
      <c r="X1173" s="5" t="s">
        <v>12512</v>
      </c>
      <c r="Y1173" s="4">
        <v>319</v>
      </c>
      <c r="Z1173" s="4">
        <v>245</v>
      </c>
      <c r="AA1173" s="4">
        <v>251</v>
      </c>
      <c r="AB1173" s="4">
        <v>3</v>
      </c>
      <c r="AC1173" s="4">
        <v>3</v>
      </c>
      <c r="AD1173" s="4">
        <v>9</v>
      </c>
      <c r="AE1173" s="4">
        <v>9</v>
      </c>
      <c r="AF1173" s="4">
        <v>1</v>
      </c>
      <c r="AG1173" s="4">
        <v>1</v>
      </c>
      <c r="AH1173" s="4">
        <v>2</v>
      </c>
      <c r="AI1173" s="4">
        <v>2</v>
      </c>
      <c r="AJ1173" s="4">
        <v>5</v>
      </c>
      <c r="AK1173" s="4">
        <v>5</v>
      </c>
      <c r="AL1173" s="4">
        <v>2</v>
      </c>
      <c r="AM1173" s="4">
        <v>2</v>
      </c>
      <c r="AN1173" s="4">
        <v>0</v>
      </c>
      <c r="AO1173" s="4">
        <v>0</v>
      </c>
      <c r="AP1173" s="3" t="s">
        <v>61</v>
      </c>
      <c r="AQ1173" s="3" t="s">
        <v>59</v>
      </c>
      <c r="AR1173" s="6" t="str">
        <f>HYPERLINK("http://catalog.hathitrust.org/Record/000643353","HathiTrust Record")</f>
        <v>HathiTrust Record</v>
      </c>
      <c r="AS1173" s="6" t="str">
        <f>HYPERLINK("https://creighton-primo.hosted.exlibrisgroup.com/primo-explore/search?tab=default_tab&amp;search_scope=EVERYTHING&amp;vid=01CRU&amp;lang=en_US&amp;offset=0&amp;query=any,contains,991000502229702656","Catalog Record")</f>
        <v>Catalog Record</v>
      </c>
      <c r="AT1173" s="6" t="str">
        <f>HYPERLINK("http://www.worldcat.org/oclc/11187220","WorldCat Record")</f>
        <v>WorldCat Record</v>
      </c>
      <c r="AU1173" s="3" t="s">
        <v>13447</v>
      </c>
      <c r="AV1173" s="3" t="s">
        <v>13448</v>
      </c>
      <c r="AW1173" s="3" t="s">
        <v>13449</v>
      </c>
      <c r="AX1173" s="3" t="s">
        <v>13449</v>
      </c>
      <c r="AY1173" s="3" t="s">
        <v>13450</v>
      </c>
      <c r="AZ1173" s="3" t="s">
        <v>75</v>
      </c>
      <c r="BB1173" s="3" t="s">
        <v>13451</v>
      </c>
      <c r="BC1173" s="3" t="s">
        <v>13452</v>
      </c>
      <c r="BD1173" s="3" t="s">
        <v>13453</v>
      </c>
    </row>
    <row r="1174" spans="1:56" ht="44.25" customHeight="1" x14ac:dyDescent="0.25">
      <c r="A1174" s="7" t="s">
        <v>61</v>
      </c>
      <c r="B1174" s="2" t="s">
        <v>13454</v>
      </c>
      <c r="C1174" s="2" t="s">
        <v>13455</v>
      </c>
      <c r="D1174" s="2" t="s">
        <v>13456</v>
      </c>
      <c r="F1174" s="3" t="s">
        <v>61</v>
      </c>
      <c r="G1174" s="3" t="s">
        <v>60</v>
      </c>
      <c r="H1174" s="3" t="s">
        <v>61</v>
      </c>
      <c r="I1174" s="3" t="s">
        <v>61</v>
      </c>
      <c r="J1174" s="3" t="s">
        <v>62</v>
      </c>
      <c r="K1174" s="2" t="s">
        <v>13457</v>
      </c>
      <c r="L1174" s="2" t="s">
        <v>13458</v>
      </c>
      <c r="M1174" s="3" t="s">
        <v>552</v>
      </c>
      <c r="O1174" s="3" t="s">
        <v>114</v>
      </c>
      <c r="P1174" s="3" t="s">
        <v>235</v>
      </c>
      <c r="Q1174" s="2" t="s">
        <v>13459</v>
      </c>
      <c r="R1174" s="3" t="s">
        <v>68</v>
      </c>
      <c r="S1174" s="4">
        <v>3</v>
      </c>
      <c r="T1174" s="4">
        <v>3</v>
      </c>
      <c r="U1174" s="5" t="s">
        <v>13460</v>
      </c>
      <c r="V1174" s="5" t="s">
        <v>13460</v>
      </c>
      <c r="W1174" s="5" t="s">
        <v>13461</v>
      </c>
      <c r="X1174" s="5" t="s">
        <v>13461</v>
      </c>
      <c r="Y1174" s="4">
        <v>446</v>
      </c>
      <c r="Z1174" s="4">
        <v>363</v>
      </c>
      <c r="AA1174" s="4">
        <v>363</v>
      </c>
      <c r="AB1174" s="4">
        <v>3</v>
      </c>
      <c r="AC1174" s="4">
        <v>3</v>
      </c>
      <c r="AD1174" s="4">
        <v>21</v>
      </c>
      <c r="AE1174" s="4">
        <v>21</v>
      </c>
      <c r="AF1174" s="4">
        <v>5</v>
      </c>
      <c r="AG1174" s="4">
        <v>5</v>
      </c>
      <c r="AH1174" s="4">
        <v>5</v>
      </c>
      <c r="AI1174" s="4">
        <v>5</v>
      </c>
      <c r="AJ1174" s="4">
        <v>14</v>
      </c>
      <c r="AK1174" s="4">
        <v>14</v>
      </c>
      <c r="AL1174" s="4">
        <v>2</v>
      </c>
      <c r="AM1174" s="4">
        <v>2</v>
      </c>
      <c r="AN1174" s="4">
        <v>1</v>
      </c>
      <c r="AO1174" s="4">
        <v>1</v>
      </c>
      <c r="AP1174" s="3" t="s">
        <v>61</v>
      </c>
      <c r="AQ1174" s="3" t="s">
        <v>61</v>
      </c>
      <c r="AS1174" s="6" t="str">
        <f>HYPERLINK("https://creighton-primo.hosted.exlibrisgroup.com/primo-explore/search?tab=default_tab&amp;search_scope=EVERYTHING&amp;vid=01CRU&amp;lang=en_US&amp;offset=0&amp;query=any,contains,991001574329702656","Catalog Record")</f>
        <v>Catalog Record</v>
      </c>
      <c r="AT1174" s="6" t="str">
        <f>HYPERLINK("http://www.worldcat.org/oclc/20420066","WorldCat Record")</f>
        <v>WorldCat Record</v>
      </c>
      <c r="AU1174" s="3" t="s">
        <v>13462</v>
      </c>
      <c r="AV1174" s="3" t="s">
        <v>13463</v>
      </c>
      <c r="AW1174" s="3" t="s">
        <v>13464</v>
      </c>
      <c r="AX1174" s="3" t="s">
        <v>13464</v>
      </c>
      <c r="AY1174" s="3" t="s">
        <v>13465</v>
      </c>
      <c r="AZ1174" s="3" t="s">
        <v>75</v>
      </c>
      <c r="BB1174" s="3" t="s">
        <v>13466</v>
      </c>
      <c r="BC1174" s="3" t="s">
        <v>13467</v>
      </c>
      <c r="BD1174" s="3" t="s">
        <v>13468</v>
      </c>
    </row>
    <row r="1175" spans="1:56" ht="44.25" customHeight="1" x14ac:dyDescent="0.25">
      <c r="A1175" s="7" t="s">
        <v>61</v>
      </c>
      <c r="B1175" s="2" t="s">
        <v>13469</v>
      </c>
      <c r="C1175" s="2" t="s">
        <v>13470</v>
      </c>
      <c r="D1175" s="2" t="s">
        <v>13471</v>
      </c>
      <c r="F1175" s="3" t="s">
        <v>61</v>
      </c>
      <c r="G1175" s="3" t="s">
        <v>60</v>
      </c>
      <c r="H1175" s="3" t="s">
        <v>61</v>
      </c>
      <c r="I1175" s="3" t="s">
        <v>61</v>
      </c>
      <c r="J1175" s="3" t="s">
        <v>62</v>
      </c>
      <c r="K1175" s="2" t="s">
        <v>13472</v>
      </c>
      <c r="L1175" s="2" t="s">
        <v>13473</v>
      </c>
      <c r="M1175" s="3" t="s">
        <v>205</v>
      </c>
      <c r="O1175" s="3" t="s">
        <v>114</v>
      </c>
      <c r="P1175" s="3" t="s">
        <v>649</v>
      </c>
      <c r="Q1175" s="2" t="s">
        <v>13474</v>
      </c>
      <c r="R1175" s="3" t="s">
        <v>68</v>
      </c>
      <c r="S1175" s="4">
        <v>5</v>
      </c>
      <c r="T1175" s="4">
        <v>5</v>
      </c>
      <c r="U1175" s="5" t="s">
        <v>11644</v>
      </c>
      <c r="V1175" s="5" t="s">
        <v>11644</v>
      </c>
      <c r="W1175" s="5" t="s">
        <v>12512</v>
      </c>
      <c r="X1175" s="5" t="s">
        <v>12512</v>
      </c>
      <c r="Y1175" s="4">
        <v>525</v>
      </c>
      <c r="Z1175" s="4">
        <v>440</v>
      </c>
      <c r="AA1175" s="4">
        <v>447</v>
      </c>
      <c r="AB1175" s="4">
        <v>4</v>
      </c>
      <c r="AC1175" s="4">
        <v>4</v>
      </c>
      <c r="AD1175" s="4">
        <v>17</v>
      </c>
      <c r="AE1175" s="4">
        <v>17</v>
      </c>
      <c r="AF1175" s="4">
        <v>5</v>
      </c>
      <c r="AG1175" s="4">
        <v>5</v>
      </c>
      <c r="AH1175" s="4">
        <v>5</v>
      </c>
      <c r="AI1175" s="4">
        <v>5</v>
      </c>
      <c r="AJ1175" s="4">
        <v>10</v>
      </c>
      <c r="AK1175" s="4">
        <v>10</v>
      </c>
      <c r="AL1175" s="4">
        <v>3</v>
      </c>
      <c r="AM1175" s="4">
        <v>3</v>
      </c>
      <c r="AN1175" s="4">
        <v>0</v>
      </c>
      <c r="AO1175" s="4">
        <v>0</v>
      </c>
      <c r="AP1175" s="3" t="s">
        <v>61</v>
      </c>
      <c r="AQ1175" s="3" t="s">
        <v>59</v>
      </c>
      <c r="AR1175" s="6" t="str">
        <f>HYPERLINK("http://catalog.hathitrust.org/Record/000645778","HathiTrust Record")</f>
        <v>HathiTrust Record</v>
      </c>
      <c r="AS1175" s="6" t="str">
        <f>HYPERLINK("https://creighton-primo.hosted.exlibrisgroup.com/primo-explore/search?tab=default_tab&amp;search_scope=EVERYTHING&amp;vid=01CRU&amp;lang=en_US&amp;offset=0&amp;query=any,contains,991000433139702656","Catalog Record")</f>
        <v>Catalog Record</v>
      </c>
      <c r="AT1175" s="6" t="str">
        <f>HYPERLINK("http://www.worldcat.org/oclc/10780272","WorldCat Record")</f>
        <v>WorldCat Record</v>
      </c>
      <c r="AU1175" s="3" t="s">
        <v>13475</v>
      </c>
      <c r="AV1175" s="3" t="s">
        <v>13476</v>
      </c>
      <c r="AW1175" s="3" t="s">
        <v>13477</v>
      </c>
      <c r="AX1175" s="3" t="s">
        <v>13477</v>
      </c>
      <c r="AY1175" s="3" t="s">
        <v>13478</v>
      </c>
      <c r="AZ1175" s="3" t="s">
        <v>75</v>
      </c>
      <c r="BB1175" s="3" t="s">
        <v>13479</v>
      </c>
      <c r="BC1175" s="3" t="s">
        <v>13480</v>
      </c>
      <c r="BD1175" s="3" t="s">
        <v>13481</v>
      </c>
    </row>
    <row r="1176" spans="1:56" ht="44.25" customHeight="1" x14ac:dyDescent="0.25">
      <c r="A1176" s="7" t="s">
        <v>61</v>
      </c>
      <c r="B1176" s="2" t="s">
        <v>13482</v>
      </c>
      <c r="C1176" s="2" t="s">
        <v>13483</v>
      </c>
      <c r="D1176" s="2" t="s">
        <v>13484</v>
      </c>
      <c r="F1176" s="3" t="s">
        <v>61</v>
      </c>
      <c r="G1176" s="3" t="s">
        <v>60</v>
      </c>
      <c r="H1176" s="3" t="s">
        <v>61</v>
      </c>
      <c r="I1176" s="3" t="s">
        <v>61</v>
      </c>
      <c r="J1176" s="3" t="s">
        <v>62</v>
      </c>
      <c r="K1176" s="2" t="s">
        <v>13485</v>
      </c>
      <c r="L1176" s="2" t="s">
        <v>13486</v>
      </c>
      <c r="M1176" s="3" t="s">
        <v>436</v>
      </c>
      <c r="O1176" s="3" t="s">
        <v>114</v>
      </c>
      <c r="P1176" s="3" t="s">
        <v>2432</v>
      </c>
      <c r="R1176" s="3" t="s">
        <v>68</v>
      </c>
      <c r="S1176" s="4">
        <v>4</v>
      </c>
      <c r="T1176" s="4">
        <v>4</v>
      </c>
      <c r="U1176" s="5" t="s">
        <v>11644</v>
      </c>
      <c r="V1176" s="5" t="s">
        <v>11644</v>
      </c>
      <c r="W1176" s="5" t="s">
        <v>13487</v>
      </c>
      <c r="X1176" s="5" t="s">
        <v>13487</v>
      </c>
      <c r="Y1176" s="4">
        <v>747</v>
      </c>
      <c r="Z1176" s="4">
        <v>698</v>
      </c>
      <c r="AA1176" s="4">
        <v>707</v>
      </c>
      <c r="AB1176" s="4">
        <v>4</v>
      </c>
      <c r="AC1176" s="4">
        <v>4</v>
      </c>
      <c r="AD1176" s="4">
        <v>23</v>
      </c>
      <c r="AE1176" s="4">
        <v>23</v>
      </c>
      <c r="AF1176" s="4">
        <v>4</v>
      </c>
      <c r="AG1176" s="4">
        <v>4</v>
      </c>
      <c r="AH1176" s="4">
        <v>7</v>
      </c>
      <c r="AI1176" s="4">
        <v>7</v>
      </c>
      <c r="AJ1176" s="4">
        <v>15</v>
      </c>
      <c r="AK1176" s="4">
        <v>15</v>
      </c>
      <c r="AL1176" s="4">
        <v>3</v>
      </c>
      <c r="AM1176" s="4">
        <v>3</v>
      </c>
      <c r="AN1176" s="4">
        <v>0</v>
      </c>
      <c r="AO1176" s="4">
        <v>0</v>
      </c>
      <c r="AP1176" s="3" t="s">
        <v>61</v>
      </c>
      <c r="AQ1176" s="3" t="s">
        <v>59</v>
      </c>
      <c r="AR1176" s="6" t="str">
        <f>HYPERLINK("http://catalog.hathitrust.org/Record/002060187","HathiTrust Record")</f>
        <v>HathiTrust Record</v>
      </c>
      <c r="AS1176" s="6" t="str">
        <f>HYPERLINK("https://creighton-primo.hosted.exlibrisgroup.com/primo-explore/search?tab=default_tab&amp;search_scope=EVERYTHING&amp;vid=01CRU&amp;lang=en_US&amp;offset=0&amp;query=any,contains,991001606719702656","Catalog Record")</f>
        <v>Catalog Record</v>
      </c>
      <c r="AT1176" s="6" t="str">
        <f>HYPERLINK("http://www.worldcat.org/oclc/20694061","WorldCat Record")</f>
        <v>WorldCat Record</v>
      </c>
      <c r="AU1176" s="3" t="s">
        <v>13488</v>
      </c>
      <c r="AV1176" s="3" t="s">
        <v>13489</v>
      </c>
      <c r="AW1176" s="3" t="s">
        <v>13490</v>
      </c>
      <c r="AX1176" s="3" t="s">
        <v>13490</v>
      </c>
      <c r="AY1176" s="3" t="s">
        <v>13491</v>
      </c>
      <c r="AZ1176" s="3" t="s">
        <v>75</v>
      </c>
      <c r="BB1176" s="3" t="s">
        <v>13492</v>
      </c>
      <c r="BC1176" s="3" t="s">
        <v>13493</v>
      </c>
      <c r="BD1176" s="3" t="s">
        <v>13494</v>
      </c>
    </row>
    <row r="1177" spans="1:56" ht="44.25" customHeight="1" x14ac:dyDescent="0.25">
      <c r="A1177" s="7" t="s">
        <v>61</v>
      </c>
      <c r="B1177" s="2" t="s">
        <v>13495</v>
      </c>
      <c r="C1177" s="2" t="s">
        <v>13496</v>
      </c>
      <c r="D1177" s="2" t="s">
        <v>13497</v>
      </c>
      <c r="F1177" s="3" t="s">
        <v>61</v>
      </c>
      <c r="G1177" s="3" t="s">
        <v>60</v>
      </c>
      <c r="H1177" s="3" t="s">
        <v>61</v>
      </c>
      <c r="I1177" s="3" t="s">
        <v>61</v>
      </c>
      <c r="J1177" s="3" t="s">
        <v>62</v>
      </c>
      <c r="L1177" s="2" t="s">
        <v>13498</v>
      </c>
      <c r="M1177" s="3" t="s">
        <v>552</v>
      </c>
      <c r="O1177" s="3" t="s">
        <v>114</v>
      </c>
      <c r="P1177" s="3" t="s">
        <v>335</v>
      </c>
      <c r="R1177" s="3" t="s">
        <v>68</v>
      </c>
      <c r="S1177" s="4">
        <v>2</v>
      </c>
      <c r="T1177" s="4">
        <v>2</v>
      </c>
      <c r="U1177" s="5" t="s">
        <v>13134</v>
      </c>
      <c r="V1177" s="5" t="s">
        <v>13134</v>
      </c>
      <c r="W1177" s="5" t="s">
        <v>11145</v>
      </c>
      <c r="X1177" s="5" t="s">
        <v>11145</v>
      </c>
      <c r="Y1177" s="4">
        <v>596</v>
      </c>
      <c r="Z1177" s="4">
        <v>477</v>
      </c>
      <c r="AA1177" s="4">
        <v>482</v>
      </c>
      <c r="AB1177" s="4">
        <v>5</v>
      </c>
      <c r="AC1177" s="4">
        <v>5</v>
      </c>
      <c r="AD1177" s="4">
        <v>30</v>
      </c>
      <c r="AE1177" s="4">
        <v>30</v>
      </c>
      <c r="AF1177" s="4">
        <v>9</v>
      </c>
      <c r="AG1177" s="4">
        <v>9</v>
      </c>
      <c r="AH1177" s="4">
        <v>7</v>
      </c>
      <c r="AI1177" s="4">
        <v>7</v>
      </c>
      <c r="AJ1177" s="4">
        <v>12</v>
      </c>
      <c r="AK1177" s="4">
        <v>12</v>
      </c>
      <c r="AL1177" s="4">
        <v>4</v>
      </c>
      <c r="AM1177" s="4">
        <v>4</v>
      </c>
      <c r="AN1177" s="4">
        <v>2</v>
      </c>
      <c r="AO1177" s="4">
        <v>2</v>
      </c>
      <c r="AP1177" s="3" t="s">
        <v>61</v>
      </c>
      <c r="AQ1177" s="3" t="s">
        <v>61</v>
      </c>
      <c r="AS1177" s="6" t="str">
        <f>HYPERLINK("https://creighton-primo.hosted.exlibrisgroup.com/primo-explore/search?tab=default_tab&amp;search_scope=EVERYTHING&amp;vid=01CRU&amp;lang=en_US&amp;offset=0&amp;query=any,contains,991001398669702656","Catalog Record")</f>
        <v>Catalog Record</v>
      </c>
      <c r="AT1177" s="6" t="str">
        <f>HYPERLINK("http://www.worldcat.org/oclc/18814730","WorldCat Record")</f>
        <v>WorldCat Record</v>
      </c>
      <c r="AU1177" s="3" t="s">
        <v>13499</v>
      </c>
      <c r="AV1177" s="3" t="s">
        <v>13500</v>
      </c>
      <c r="AW1177" s="3" t="s">
        <v>13501</v>
      </c>
      <c r="AX1177" s="3" t="s">
        <v>13501</v>
      </c>
      <c r="AY1177" s="3" t="s">
        <v>13502</v>
      </c>
      <c r="AZ1177" s="3" t="s">
        <v>75</v>
      </c>
      <c r="BB1177" s="3" t="s">
        <v>13503</v>
      </c>
      <c r="BC1177" s="3" t="s">
        <v>13504</v>
      </c>
      <c r="BD1177" s="3" t="s">
        <v>13505</v>
      </c>
    </row>
    <row r="1178" spans="1:56" ht="44.25" customHeight="1" x14ac:dyDescent="0.25">
      <c r="A1178" s="7" t="s">
        <v>61</v>
      </c>
      <c r="B1178" s="2" t="s">
        <v>13506</v>
      </c>
      <c r="C1178" s="2" t="s">
        <v>13507</v>
      </c>
      <c r="D1178" s="2" t="s">
        <v>13508</v>
      </c>
      <c r="F1178" s="3" t="s">
        <v>61</v>
      </c>
      <c r="G1178" s="3" t="s">
        <v>60</v>
      </c>
      <c r="H1178" s="3" t="s">
        <v>61</v>
      </c>
      <c r="I1178" s="3" t="s">
        <v>61</v>
      </c>
      <c r="J1178" s="3" t="s">
        <v>62</v>
      </c>
      <c r="K1178" s="2" t="s">
        <v>13509</v>
      </c>
      <c r="L1178" s="2" t="s">
        <v>13510</v>
      </c>
      <c r="M1178" s="3" t="s">
        <v>579</v>
      </c>
      <c r="N1178" s="2" t="s">
        <v>13511</v>
      </c>
      <c r="O1178" s="3" t="s">
        <v>114</v>
      </c>
      <c r="P1178" s="3" t="s">
        <v>335</v>
      </c>
      <c r="Q1178" s="2" t="s">
        <v>13512</v>
      </c>
      <c r="R1178" s="3" t="s">
        <v>68</v>
      </c>
      <c r="S1178" s="4">
        <v>2</v>
      </c>
      <c r="T1178" s="4">
        <v>2</v>
      </c>
      <c r="U1178" s="5" t="s">
        <v>11644</v>
      </c>
      <c r="V1178" s="5" t="s">
        <v>11644</v>
      </c>
      <c r="W1178" s="5" t="s">
        <v>237</v>
      </c>
      <c r="X1178" s="5" t="s">
        <v>237</v>
      </c>
      <c r="Y1178" s="4">
        <v>479</v>
      </c>
      <c r="Z1178" s="4">
        <v>410</v>
      </c>
      <c r="AA1178" s="4">
        <v>429</v>
      </c>
      <c r="AB1178" s="4">
        <v>3</v>
      </c>
      <c r="AC1178" s="4">
        <v>3</v>
      </c>
      <c r="AD1178" s="4">
        <v>17</v>
      </c>
      <c r="AE1178" s="4">
        <v>17</v>
      </c>
      <c r="AF1178" s="4">
        <v>4</v>
      </c>
      <c r="AG1178" s="4">
        <v>4</v>
      </c>
      <c r="AH1178" s="4">
        <v>4</v>
      </c>
      <c r="AI1178" s="4">
        <v>4</v>
      </c>
      <c r="AJ1178" s="4">
        <v>12</v>
      </c>
      <c r="AK1178" s="4">
        <v>12</v>
      </c>
      <c r="AL1178" s="4">
        <v>2</v>
      </c>
      <c r="AM1178" s="4">
        <v>2</v>
      </c>
      <c r="AN1178" s="4">
        <v>0</v>
      </c>
      <c r="AO1178" s="4">
        <v>0</v>
      </c>
      <c r="AP1178" s="3" t="s">
        <v>61</v>
      </c>
      <c r="AQ1178" s="3" t="s">
        <v>59</v>
      </c>
      <c r="AR1178" s="6" t="str">
        <f>HYPERLINK("http://catalog.hathitrust.org/Record/000489867","HathiTrust Record")</f>
        <v>HathiTrust Record</v>
      </c>
      <c r="AS1178" s="6" t="str">
        <f>HYPERLINK("https://creighton-primo.hosted.exlibrisgroup.com/primo-explore/search?tab=default_tab&amp;search_scope=EVERYTHING&amp;vid=01CRU&amp;lang=en_US&amp;offset=0&amp;query=any,contains,991000848229702656","Catalog Record")</f>
        <v>Catalog Record</v>
      </c>
      <c r="AT1178" s="6" t="str">
        <f>HYPERLINK("http://www.worldcat.org/oclc/13580371","WorldCat Record")</f>
        <v>WorldCat Record</v>
      </c>
      <c r="AU1178" s="3" t="s">
        <v>13513</v>
      </c>
      <c r="AV1178" s="3" t="s">
        <v>13514</v>
      </c>
      <c r="AW1178" s="3" t="s">
        <v>13515</v>
      </c>
      <c r="AX1178" s="3" t="s">
        <v>13515</v>
      </c>
      <c r="AY1178" s="3" t="s">
        <v>13516</v>
      </c>
      <c r="AZ1178" s="3" t="s">
        <v>75</v>
      </c>
      <c r="BB1178" s="3" t="s">
        <v>13517</v>
      </c>
      <c r="BC1178" s="3" t="s">
        <v>13518</v>
      </c>
      <c r="BD1178" s="3" t="s">
        <v>13519</v>
      </c>
    </row>
    <row r="1179" spans="1:56" ht="44.25" customHeight="1" x14ac:dyDescent="0.25">
      <c r="A1179" s="7" t="s">
        <v>61</v>
      </c>
      <c r="B1179" s="2" t="s">
        <v>13520</v>
      </c>
      <c r="C1179" s="2" t="s">
        <v>13521</v>
      </c>
      <c r="D1179" s="2" t="s">
        <v>13522</v>
      </c>
      <c r="F1179" s="3" t="s">
        <v>61</v>
      </c>
      <c r="G1179" s="3" t="s">
        <v>60</v>
      </c>
      <c r="H1179" s="3" t="s">
        <v>61</v>
      </c>
      <c r="I1179" s="3" t="s">
        <v>61</v>
      </c>
      <c r="J1179" s="3" t="s">
        <v>62</v>
      </c>
      <c r="K1179" s="2" t="s">
        <v>13523</v>
      </c>
      <c r="L1179" s="2" t="s">
        <v>13524</v>
      </c>
      <c r="M1179" s="3" t="s">
        <v>707</v>
      </c>
      <c r="O1179" s="3" t="s">
        <v>114</v>
      </c>
      <c r="P1179" s="3" t="s">
        <v>1033</v>
      </c>
      <c r="R1179" s="3" t="s">
        <v>68</v>
      </c>
      <c r="S1179" s="4">
        <v>3</v>
      </c>
      <c r="T1179" s="4">
        <v>3</v>
      </c>
      <c r="U1179" s="5" t="s">
        <v>13525</v>
      </c>
      <c r="V1179" s="5" t="s">
        <v>13525</v>
      </c>
      <c r="W1179" s="5" t="s">
        <v>5327</v>
      </c>
      <c r="X1179" s="5" t="s">
        <v>5327</v>
      </c>
      <c r="Y1179" s="4">
        <v>632</v>
      </c>
      <c r="Z1179" s="4">
        <v>525</v>
      </c>
      <c r="AA1179" s="4">
        <v>532</v>
      </c>
      <c r="AB1179" s="4">
        <v>4</v>
      </c>
      <c r="AC1179" s="4">
        <v>4</v>
      </c>
      <c r="AD1179" s="4">
        <v>28</v>
      </c>
      <c r="AE1179" s="4">
        <v>28</v>
      </c>
      <c r="AF1179" s="4">
        <v>12</v>
      </c>
      <c r="AG1179" s="4">
        <v>12</v>
      </c>
      <c r="AH1179" s="4">
        <v>5</v>
      </c>
      <c r="AI1179" s="4">
        <v>5</v>
      </c>
      <c r="AJ1179" s="4">
        <v>17</v>
      </c>
      <c r="AK1179" s="4">
        <v>17</v>
      </c>
      <c r="AL1179" s="4">
        <v>3</v>
      </c>
      <c r="AM1179" s="4">
        <v>3</v>
      </c>
      <c r="AN1179" s="4">
        <v>0</v>
      </c>
      <c r="AO1179" s="4">
        <v>0</v>
      </c>
      <c r="AP1179" s="3" t="s">
        <v>61</v>
      </c>
      <c r="AQ1179" s="3" t="s">
        <v>59</v>
      </c>
      <c r="AR1179" s="6" t="str">
        <f>HYPERLINK("http://catalog.hathitrust.org/Record/000589190","HathiTrust Record")</f>
        <v>HathiTrust Record</v>
      </c>
      <c r="AS1179" s="6" t="str">
        <f>HYPERLINK("https://creighton-primo.hosted.exlibrisgroup.com/primo-explore/search?tab=default_tab&amp;search_scope=EVERYTHING&amp;vid=01CRU&amp;lang=en_US&amp;offset=0&amp;query=any,contains,991003414669702656","Catalog Record")</f>
        <v>Catalog Record</v>
      </c>
      <c r="AT1179" s="6" t="str">
        <f>HYPERLINK("http://www.worldcat.org/oclc/953220","WorldCat Record")</f>
        <v>WorldCat Record</v>
      </c>
      <c r="AU1179" s="3" t="s">
        <v>13526</v>
      </c>
      <c r="AV1179" s="3" t="s">
        <v>13527</v>
      </c>
      <c r="AW1179" s="3" t="s">
        <v>13528</v>
      </c>
      <c r="AX1179" s="3" t="s">
        <v>13528</v>
      </c>
      <c r="AY1179" s="3" t="s">
        <v>13529</v>
      </c>
      <c r="AZ1179" s="3" t="s">
        <v>75</v>
      </c>
      <c r="BC1179" s="3" t="s">
        <v>13530</v>
      </c>
      <c r="BD1179" s="3" t="s">
        <v>13531</v>
      </c>
    </row>
    <row r="1180" spans="1:56" ht="44.25" customHeight="1" x14ac:dyDescent="0.25">
      <c r="A1180" s="7" t="s">
        <v>61</v>
      </c>
      <c r="B1180" s="2" t="s">
        <v>13532</v>
      </c>
      <c r="C1180" s="2" t="s">
        <v>13533</v>
      </c>
      <c r="D1180" s="2" t="s">
        <v>13534</v>
      </c>
      <c r="F1180" s="3" t="s">
        <v>61</v>
      </c>
      <c r="G1180" s="3" t="s">
        <v>60</v>
      </c>
      <c r="H1180" s="3" t="s">
        <v>61</v>
      </c>
      <c r="I1180" s="3" t="s">
        <v>61</v>
      </c>
      <c r="J1180" s="3" t="s">
        <v>62</v>
      </c>
      <c r="K1180" s="2" t="s">
        <v>13535</v>
      </c>
      <c r="L1180" s="2" t="s">
        <v>13536</v>
      </c>
      <c r="M1180" s="3" t="s">
        <v>1465</v>
      </c>
      <c r="O1180" s="3" t="s">
        <v>114</v>
      </c>
      <c r="P1180" s="3" t="s">
        <v>192</v>
      </c>
      <c r="Q1180" s="2" t="s">
        <v>13537</v>
      </c>
      <c r="R1180" s="3" t="s">
        <v>68</v>
      </c>
      <c r="S1180" s="4">
        <v>5</v>
      </c>
      <c r="T1180" s="4">
        <v>5</v>
      </c>
      <c r="U1180" s="5" t="s">
        <v>5871</v>
      </c>
      <c r="V1180" s="5" t="s">
        <v>5871</v>
      </c>
      <c r="W1180" s="5" t="s">
        <v>13538</v>
      </c>
      <c r="X1180" s="5" t="s">
        <v>13538</v>
      </c>
      <c r="Y1180" s="4">
        <v>199</v>
      </c>
      <c r="Z1180" s="4">
        <v>138</v>
      </c>
      <c r="AA1180" s="4">
        <v>138</v>
      </c>
      <c r="AB1180" s="4">
        <v>2</v>
      </c>
      <c r="AC1180" s="4">
        <v>2</v>
      </c>
      <c r="AD1180" s="4">
        <v>7</v>
      </c>
      <c r="AE1180" s="4">
        <v>7</v>
      </c>
      <c r="AF1180" s="4">
        <v>3</v>
      </c>
      <c r="AG1180" s="4">
        <v>3</v>
      </c>
      <c r="AH1180" s="4">
        <v>3</v>
      </c>
      <c r="AI1180" s="4">
        <v>3</v>
      </c>
      <c r="AJ1180" s="4">
        <v>2</v>
      </c>
      <c r="AK1180" s="4">
        <v>2</v>
      </c>
      <c r="AL1180" s="4">
        <v>1</v>
      </c>
      <c r="AM1180" s="4">
        <v>1</v>
      </c>
      <c r="AN1180" s="4">
        <v>0</v>
      </c>
      <c r="AO1180" s="4">
        <v>0</v>
      </c>
      <c r="AP1180" s="3" t="s">
        <v>61</v>
      </c>
      <c r="AQ1180" s="3" t="s">
        <v>61</v>
      </c>
      <c r="AS1180" s="6" t="str">
        <f>HYPERLINK("https://creighton-primo.hosted.exlibrisgroup.com/primo-explore/search?tab=default_tab&amp;search_scope=EVERYTHING&amp;vid=01CRU&amp;lang=en_US&amp;offset=0&amp;query=any,contains,991001966869702656","Catalog Record")</f>
        <v>Catalog Record</v>
      </c>
      <c r="AT1180" s="6" t="str">
        <f>HYPERLINK("http://www.worldcat.org/oclc/27072675","WorldCat Record")</f>
        <v>WorldCat Record</v>
      </c>
      <c r="AU1180" s="3" t="s">
        <v>13539</v>
      </c>
      <c r="AV1180" s="3" t="s">
        <v>13540</v>
      </c>
      <c r="AW1180" s="3" t="s">
        <v>13541</v>
      </c>
      <c r="AX1180" s="3" t="s">
        <v>13541</v>
      </c>
      <c r="AY1180" s="3" t="s">
        <v>13542</v>
      </c>
      <c r="AZ1180" s="3" t="s">
        <v>75</v>
      </c>
      <c r="BB1180" s="3" t="s">
        <v>13543</v>
      </c>
      <c r="BC1180" s="3" t="s">
        <v>13544</v>
      </c>
      <c r="BD1180" s="3" t="s">
        <v>13545</v>
      </c>
    </row>
    <row r="1181" spans="1:56" ht="44.25" customHeight="1" x14ac:dyDescent="0.25">
      <c r="A1181" s="7" t="s">
        <v>61</v>
      </c>
      <c r="B1181" s="2" t="s">
        <v>13546</v>
      </c>
      <c r="C1181" s="2" t="s">
        <v>13547</v>
      </c>
      <c r="D1181" s="2" t="s">
        <v>13548</v>
      </c>
      <c r="F1181" s="3" t="s">
        <v>61</v>
      </c>
      <c r="G1181" s="3" t="s">
        <v>60</v>
      </c>
      <c r="H1181" s="3" t="s">
        <v>61</v>
      </c>
      <c r="I1181" s="3" t="s">
        <v>61</v>
      </c>
      <c r="J1181" s="3" t="s">
        <v>62</v>
      </c>
      <c r="K1181" s="2" t="s">
        <v>13549</v>
      </c>
      <c r="L1181" s="2" t="s">
        <v>13550</v>
      </c>
      <c r="M1181" s="3" t="s">
        <v>220</v>
      </c>
      <c r="N1181" s="2" t="s">
        <v>634</v>
      </c>
      <c r="O1181" s="3" t="s">
        <v>114</v>
      </c>
      <c r="P1181" s="3" t="s">
        <v>235</v>
      </c>
      <c r="R1181" s="3" t="s">
        <v>68</v>
      </c>
      <c r="S1181" s="4">
        <v>2</v>
      </c>
      <c r="T1181" s="4">
        <v>2</v>
      </c>
      <c r="U1181" s="5" t="s">
        <v>13551</v>
      </c>
      <c r="V1181" s="5" t="s">
        <v>13551</v>
      </c>
      <c r="W1181" s="5" t="s">
        <v>13552</v>
      </c>
      <c r="X1181" s="5" t="s">
        <v>13552</v>
      </c>
      <c r="Y1181" s="4">
        <v>587</v>
      </c>
      <c r="Z1181" s="4">
        <v>537</v>
      </c>
      <c r="AA1181" s="4">
        <v>667</v>
      </c>
      <c r="AB1181" s="4">
        <v>6</v>
      </c>
      <c r="AC1181" s="4">
        <v>7</v>
      </c>
      <c r="AD1181" s="4">
        <v>13</v>
      </c>
      <c r="AE1181" s="4">
        <v>17</v>
      </c>
      <c r="AF1181" s="4">
        <v>3</v>
      </c>
      <c r="AG1181" s="4">
        <v>6</v>
      </c>
      <c r="AH1181" s="4">
        <v>2</v>
      </c>
      <c r="AI1181" s="4">
        <v>2</v>
      </c>
      <c r="AJ1181" s="4">
        <v>5</v>
      </c>
      <c r="AK1181" s="4">
        <v>6</v>
      </c>
      <c r="AL1181" s="4">
        <v>5</v>
      </c>
      <c r="AM1181" s="4">
        <v>6</v>
      </c>
      <c r="AN1181" s="4">
        <v>0</v>
      </c>
      <c r="AO1181" s="4">
        <v>0</v>
      </c>
      <c r="AP1181" s="3" t="s">
        <v>61</v>
      </c>
      <c r="AQ1181" s="3" t="s">
        <v>61</v>
      </c>
      <c r="AS1181" s="6" t="str">
        <f>HYPERLINK("https://creighton-primo.hosted.exlibrisgroup.com/primo-explore/search?tab=default_tab&amp;search_scope=EVERYTHING&amp;vid=01CRU&amp;lang=en_US&amp;offset=0&amp;query=any,contains,991003800019702656","Catalog Record")</f>
        <v>Catalog Record</v>
      </c>
      <c r="AT1181" s="6" t="str">
        <f>HYPERLINK("http://www.worldcat.org/oclc/48053822","WorldCat Record")</f>
        <v>WorldCat Record</v>
      </c>
      <c r="AU1181" s="3" t="s">
        <v>13553</v>
      </c>
      <c r="AV1181" s="3" t="s">
        <v>13554</v>
      </c>
      <c r="AW1181" s="3" t="s">
        <v>13555</v>
      </c>
      <c r="AX1181" s="3" t="s">
        <v>13555</v>
      </c>
      <c r="AY1181" s="3" t="s">
        <v>13556</v>
      </c>
      <c r="AZ1181" s="3" t="s">
        <v>75</v>
      </c>
      <c r="BB1181" s="3" t="s">
        <v>13557</v>
      </c>
      <c r="BC1181" s="3" t="s">
        <v>13558</v>
      </c>
      <c r="BD1181" s="3" t="s">
        <v>13559</v>
      </c>
    </row>
    <row r="1182" spans="1:56" ht="44.25" customHeight="1" x14ac:dyDescent="0.25">
      <c r="A1182" s="7" t="s">
        <v>61</v>
      </c>
      <c r="B1182" s="2" t="s">
        <v>13560</v>
      </c>
      <c r="C1182" s="2" t="s">
        <v>13561</v>
      </c>
      <c r="D1182" s="2" t="s">
        <v>13562</v>
      </c>
      <c r="F1182" s="3" t="s">
        <v>61</v>
      </c>
      <c r="G1182" s="3" t="s">
        <v>60</v>
      </c>
      <c r="H1182" s="3" t="s">
        <v>61</v>
      </c>
      <c r="I1182" s="3" t="s">
        <v>61</v>
      </c>
      <c r="J1182" s="3" t="s">
        <v>62</v>
      </c>
      <c r="L1182" s="2" t="s">
        <v>13563</v>
      </c>
      <c r="M1182" s="3" t="s">
        <v>605</v>
      </c>
      <c r="O1182" s="3" t="s">
        <v>114</v>
      </c>
      <c r="P1182" s="3" t="s">
        <v>235</v>
      </c>
      <c r="Q1182" s="2" t="s">
        <v>13564</v>
      </c>
      <c r="R1182" s="3" t="s">
        <v>68</v>
      </c>
      <c r="S1182" s="4">
        <v>5</v>
      </c>
      <c r="T1182" s="4">
        <v>5</v>
      </c>
      <c r="U1182" s="5" t="s">
        <v>13565</v>
      </c>
      <c r="V1182" s="5" t="s">
        <v>13565</v>
      </c>
      <c r="W1182" s="5" t="s">
        <v>13566</v>
      </c>
      <c r="X1182" s="5" t="s">
        <v>13566</v>
      </c>
      <c r="Y1182" s="4">
        <v>189</v>
      </c>
      <c r="Z1182" s="4">
        <v>117</v>
      </c>
      <c r="AA1182" s="4">
        <v>117</v>
      </c>
      <c r="AB1182" s="4">
        <v>1</v>
      </c>
      <c r="AC1182" s="4">
        <v>1</v>
      </c>
      <c r="AD1182" s="4">
        <v>6</v>
      </c>
      <c r="AE1182" s="4">
        <v>6</v>
      </c>
      <c r="AF1182" s="4">
        <v>1</v>
      </c>
      <c r="AG1182" s="4">
        <v>1</v>
      </c>
      <c r="AH1182" s="4">
        <v>1</v>
      </c>
      <c r="AI1182" s="4">
        <v>1</v>
      </c>
      <c r="AJ1182" s="4">
        <v>5</v>
      </c>
      <c r="AK1182" s="4">
        <v>5</v>
      </c>
      <c r="AL1182" s="4">
        <v>0</v>
      </c>
      <c r="AM1182" s="4">
        <v>0</v>
      </c>
      <c r="AN1182" s="4">
        <v>0</v>
      </c>
      <c r="AO1182" s="4">
        <v>0</v>
      </c>
      <c r="AP1182" s="3" t="s">
        <v>61</v>
      </c>
      <c r="AQ1182" s="3" t="s">
        <v>61</v>
      </c>
      <c r="AS1182" s="6" t="str">
        <f>HYPERLINK("https://creighton-primo.hosted.exlibrisgroup.com/primo-explore/search?tab=default_tab&amp;search_scope=EVERYTHING&amp;vid=01CRU&amp;lang=en_US&amp;offset=0&amp;query=any,contains,991001735019702656","Catalog Record")</f>
        <v>Catalog Record</v>
      </c>
      <c r="AT1182" s="6" t="str">
        <f>HYPERLINK("http://www.worldcat.org/oclc/21969561","WorldCat Record")</f>
        <v>WorldCat Record</v>
      </c>
      <c r="AU1182" s="3" t="s">
        <v>13567</v>
      </c>
      <c r="AV1182" s="3" t="s">
        <v>13568</v>
      </c>
      <c r="AW1182" s="3" t="s">
        <v>13569</v>
      </c>
      <c r="AX1182" s="3" t="s">
        <v>13569</v>
      </c>
      <c r="AY1182" s="3" t="s">
        <v>13570</v>
      </c>
      <c r="AZ1182" s="3" t="s">
        <v>75</v>
      </c>
      <c r="BB1182" s="3" t="s">
        <v>13571</v>
      </c>
      <c r="BC1182" s="3" t="s">
        <v>13572</v>
      </c>
      <c r="BD1182" s="3" t="s">
        <v>13573</v>
      </c>
    </row>
    <row r="1183" spans="1:56" ht="44.25" customHeight="1" x14ac:dyDescent="0.25">
      <c r="D1183" s="2" t="s">
        <v>13574</v>
      </c>
      <c r="F1183" s="3" t="s">
        <v>61</v>
      </c>
      <c r="G1183" s="3" t="s">
        <v>60</v>
      </c>
      <c r="H1183" s="3" t="s">
        <v>61</v>
      </c>
      <c r="I1183" s="3" t="s">
        <v>61</v>
      </c>
      <c r="J1183" s="3" t="s">
        <v>62</v>
      </c>
      <c r="K1183" s="2" t="s">
        <v>13575</v>
      </c>
      <c r="L1183" s="2" t="s">
        <v>13576</v>
      </c>
      <c r="M1183" s="3" t="s">
        <v>13577</v>
      </c>
      <c r="N1183" s="2" t="s">
        <v>13578</v>
      </c>
      <c r="O1183" s="3" t="s">
        <v>114</v>
      </c>
      <c r="P1183" s="3" t="s">
        <v>235</v>
      </c>
      <c r="Q1183" s="2" t="s">
        <v>3714</v>
      </c>
      <c r="R1183" s="3" t="s">
        <v>68</v>
      </c>
      <c r="S1183" s="4">
        <v>5</v>
      </c>
      <c r="T1183" s="4">
        <v>5</v>
      </c>
      <c r="U1183" s="5" t="s">
        <v>13579</v>
      </c>
      <c r="V1183" s="5" t="s">
        <v>13579</v>
      </c>
      <c r="W1183" s="5" t="s">
        <v>3415</v>
      </c>
      <c r="X1183" s="5" t="s">
        <v>3415</v>
      </c>
      <c r="Y1183" s="4">
        <v>82</v>
      </c>
      <c r="Z1183" s="4">
        <v>74</v>
      </c>
      <c r="AA1183" s="4">
        <v>630</v>
      </c>
      <c r="AB1183" s="4">
        <v>1</v>
      </c>
      <c r="AC1183" s="4">
        <v>8</v>
      </c>
      <c r="AD1183" s="4">
        <v>2</v>
      </c>
      <c r="AE1183" s="4">
        <v>33</v>
      </c>
      <c r="AF1183" s="4">
        <v>2</v>
      </c>
      <c r="AG1183" s="4">
        <v>11</v>
      </c>
      <c r="AH1183" s="4">
        <v>0</v>
      </c>
      <c r="AI1183" s="4">
        <v>8</v>
      </c>
      <c r="AJ1183" s="4">
        <v>0</v>
      </c>
      <c r="AK1183" s="4">
        <v>14</v>
      </c>
      <c r="AL1183" s="4">
        <v>0</v>
      </c>
      <c r="AM1183" s="4">
        <v>6</v>
      </c>
      <c r="AN1183" s="4">
        <v>0</v>
      </c>
      <c r="AO1183" s="4">
        <v>0</v>
      </c>
      <c r="AP1183" s="3" t="s">
        <v>59</v>
      </c>
      <c r="AQ1183" s="3" t="s">
        <v>61</v>
      </c>
      <c r="AR1183" s="6" t="str">
        <f>HYPERLINK("http://catalog.hathitrust.org/Record/009593883","HathiTrust Record")</f>
        <v>HathiTrust Record</v>
      </c>
      <c r="AS1183" s="6" t="str">
        <f>HYPERLINK("https://creighton-primo.hosted.exlibrisgroup.com/primo-explore/search?tab=default_tab&amp;search_scope=EVERYTHING&amp;vid=01CRU&amp;lang=en_US&amp;offset=0&amp;query=any,contains,991004995649702656","Catalog Record")</f>
        <v>Catalog Record</v>
      </c>
      <c r="AT1183" s="6" t="str">
        <f>HYPERLINK("http://www.worldcat.org/oclc/6512859","WorldCat Record")</f>
        <v>WorldCat Record</v>
      </c>
      <c r="AU1183" s="3" t="s">
        <v>13580</v>
      </c>
      <c r="AV1183" s="3" t="s">
        <v>13581</v>
      </c>
      <c r="AW1183" s="3" t="s">
        <v>13582</v>
      </c>
      <c r="AX1183" s="3" t="s">
        <v>13582</v>
      </c>
      <c r="AY1183" s="3" t="s">
        <v>13583</v>
      </c>
      <c r="AZ1183" s="3" t="s">
        <v>75</v>
      </c>
      <c r="BC1183" s="3" t="s">
        <v>13584</v>
      </c>
      <c r="BD1183" s="3" t="s">
        <v>13585</v>
      </c>
    </row>
  </sheetData>
  <sheetProtection sheet="1" objects="1" scenarios="1"/>
  <protectedRanges>
    <protectedRange sqref="A2:A1182" name="Range1"/>
    <protectedRange sqref="A1" name="Range1_1"/>
  </protectedRanges>
  <dataValidations count="1">
    <dataValidation type="list" allowBlank="1" showInputMessage="1" showErrorMessage="1" sqref="A2:A1182" xr:uid="{6CBD261C-FA6F-4A04-856E-146812E25B86}">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39BE579D-4D96-4514-A75B-0A76CC27E1AA}"/>
</file>

<file path=customXml/itemProps2.xml><?xml version="1.0" encoding="utf-8"?>
<ds:datastoreItem xmlns:ds="http://schemas.openxmlformats.org/officeDocument/2006/customXml" ds:itemID="{D166F9A8-108D-4674-9EDC-32D0F5E00984}"/>
</file>

<file path=customXml/itemProps3.xml><?xml version="1.0" encoding="utf-8"?>
<ds:datastoreItem xmlns:ds="http://schemas.openxmlformats.org/officeDocument/2006/customXml" ds:itemID="{F445F35C-FC15-4C8C-8D56-E4B954F6FF0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Kiscaden, Elizabeth J</dc:creator>
  <cp:lastModifiedBy>Kiscaden, Elizabeth J</cp:lastModifiedBy>
  <dcterms:created xsi:type="dcterms:W3CDTF">2022-03-03T23:35:07Z</dcterms:created>
  <dcterms:modified xsi:type="dcterms:W3CDTF">2022-03-03T23:36:39Z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283600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