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5CB14CB9-935C-4B76-AB6E-9749A6215450}" xr6:coauthVersionLast="47" xr6:coauthVersionMax="47" xr10:uidLastSave="{00000000-0000-0000-0000-000000000000}"/>
  <bookViews>
    <workbookView xWindow="-120" yWindow="-120" windowWidth="29040" windowHeight="15840" xr2:uid="{CA3AFC1D-87B1-4698-8D44-F3D7475BA1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05" i="1" l="1"/>
  <c r="AS205" i="1"/>
  <c r="AT204" i="1"/>
  <c r="AS204" i="1"/>
  <c r="AR204" i="1"/>
  <c r="AT203" i="1"/>
  <c r="AS203" i="1"/>
  <c r="AR203" i="1"/>
  <c r="AT202" i="1"/>
  <c r="AS202" i="1"/>
  <c r="AR202" i="1"/>
  <c r="AT201" i="1"/>
  <c r="AS201" i="1"/>
  <c r="AT200" i="1"/>
  <c r="AS200" i="1"/>
  <c r="AR200" i="1"/>
  <c r="AT199" i="1"/>
  <c r="AS199" i="1"/>
  <c r="AR199" i="1"/>
  <c r="AT198" i="1"/>
  <c r="AS198" i="1"/>
  <c r="AR198" i="1"/>
  <c r="AT197" i="1"/>
  <c r="AS197" i="1"/>
  <c r="AT196" i="1"/>
  <c r="AS196" i="1"/>
  <c r="AT195" i="1"/>
  <c r="AS195" i="1"/>
  <c r="AT194" i="1"/>
  <c r="AS194" i="1"/>
  <c r="AT193" i="1"/>
  <c r="AS193" i="1"/>
  <c r="AR193" i="1"/>
  <c r="AT192" i="1"/>
  <c r="AS192" i="1"/>
  <c r="AT191" i="1"/>
  <c r="AS191" i="1"/>
  <c r="AR191" i="1"/>
  <c r="AT190" i="1"/>
  <c r="AS190" i="1"/>
  <c r="AT189" i="1"/>
  <c r="AS189" i="1"/>
  <c r="AT188" i="1"/>
  <c r="AS188" i="1"/>
  <c r="AT187" i="1"/>
  <c r="AS187" i="1"/>
  <c r="AR187" i="1"/>
  <c r="AT186" i="1"/>
  <c r="AS186" i="1"/>
  <c r="AT185" i="1"/>
  <c r="AS185" i="1"/>
  <c r="AT184" i="1"/>
  <c r="AS184" i="1"/>
  <c r="AT183" i="1"/>
  <c r="AS183" i="1"/>
  <c r="AT182" i="1"/>
  <c r="AS182" i="1"/>
  <c r="AR182" i="1"/>
  <c r="AT181" i="1"/>
  <c r="AS181" i="1"/>
  <c r="AT180" i="1"/>
  <c r="AS180" i="1"/>
  <c r="AT179" i="1"/>
  <c r="AS179" i="1"/>
  <c r="AT178" i="1"/>
  <c r="AS178" i="1"/>
  <c r="AR178" i="1"/>
  <c r="AT177" i="1"/>
  <c r="AS177" i="1"/>
  <c r="AR177" i="1"/>
  <c r="AT176" i="1"/>
  <c r="AS176" i="1"/>
  <c r="AT175" i="1"/>
  <c r="AS175" i="1"/>
  <c r="AR175" i="1"/>
  <c r="AT174" i="1"/>
  <c r="AS174" i="1"/>
  <c r="AR174" i="1"/>
  <c r="AT173" i="1"/>
  <c r="AS173" i="1"/>
  <c r="AR173" i="1"/>
  <c r="AT172" i="1"/>
  <c r="AS172" i="1"/>
  <c r="AR172" i="1"/>
  <c r="AT171" i="1"/>
  <c r="AS171" i="1"/>
  <c r="AR171" i="1"/>
  <c r="AT170" i="1"/>
  <c r="AS170" i="1"/>
  <c r="AR170" i="1"/>
  <c r="AT169" i="1"/>
  <c r="AS169" i="1"/>
  <c r="AR169" i="1"/>
  <c r="AT168" i="1"/>
  <c r="AS168" i="1"/>
  <c r="AR168" i="1"/>
  <c r="AT167" i="1"/>
  <c r="AS167" i="1"/>
  <c r="AT166" i="1"/>
  <c r="AS166" i="1"/>
  <c r="AT165" i="1"/>
  <c r="AS165" i="1"/>
  <c r="AT164" i="1"/>
  <c r="AS164" i="1"/>
  <c r="AT163" i="1"/>
  <c r="AS163" i="1"/>
  <c r="AR163" i="1"/>
  <c r="AT162" i="1"/>
  <c r="AS162" i="1"/>
  <c r="AR162" i="1"/>
  <c r="AT161" i="1"/>
  <c r="AS161" i="1"/>
  <c r="AT160" i="1"/>
  <c r="AS160" i="1"/>
  <c r="AT159" i="1"/>
  <c r="AS159" i="1"/>
  <c r="AT158" i="1"/>
  <c r="AS158" i="1"/>
  <c r="AT157" i="1"/>
  <c r="AS157" i="1"/>
  <c r="AT156" i="1"/>
  <c r="AS156" i="1"/>
  <c r="AR156" i="1"/>
  <c r="AT155" i="1"/>
  <c r="AS155" i="1"/>
  <c r="AT154" i="1"/>
  <c r="AS154" i="1"/>
  <c r="AT153" i="1"/>
  <c r="AS153" i="1"/>
  <c r="AR153" i="1"/>
  <c r="AT152" i="1"/>
  <c r="AS152" i="1"/>
  <c r="AT151" i="1"/>
  <c r="AS151" i="1"/>
  <c r="AT150" i="1"/>
  <c r="AS150" i="1"/>
  <c r="AT149" i="1"/>
  <c r="AS149" i="1"/>
  <c r="AR149" i="1"/>
  <c r="AT148" i="1"/>
  <c r="AS148" i="1"/>
  <c r="AT147" i="1"/>
  <c r="AS147" i="1"/>
  <c r="AR147" i="1"/>
  <c r="AT146" i="1"/>
  <c r="AS146" i="1"/>
  <c r="AR146" i="1"/>
  <c r="AT145" i="1"/>
  <c r="AS145" i="1"/>
  <c r="AR145" i="1"/>
  <c r="AT144" i="1"/>
  <c r="AS144" i="1"/>
  <c r="AR144" i="1"/>
  <c r="AT143" i="1"/>
  <c r="AS143" i="1"/>
  <c r="AT142" i="1"/>
  <c r="AS142" i="1"/>
  <c r="AR142" i="1"/>
  <c r="AT141" i="1"/>
  <c r="AS141" i="1"/>
  <c r="AT140" i="1"/>
  <c r="AS140" i="1"/>
  <c r="AT139" i="1"/>
  <c r="AS139" i="1"/>
  <c r="AR139" i="1"/>
  <c r="AT138" i="1"/>
  <c r="AS138" i="1"/>
  <c r="AR138" i="1"/>
  <c r="AT137" i="1"/>
  <c r="AS137" i="1"/>
  <c r="AR137" i="1"/>
  <c r="AT136" i="1"/>
  <c r="AS136" i="1"/>
  <c r="AR136" i="1"/>
  <c r="AT135" i="1"/>
  <c r="AS135" i="1"/>
  <c r="AT134" i="1"/>
  <c r="AS134" i="1"/>
  <c r="AT133" i="1"/>
  <c r="AS133" i="1"/>
  <c r="AT132" i="1"/>
  <c r="AS132" i="1"/>
  <c r="AR132" i="1"/>
  <c r="AT131" i="1"/>
  <c r="AS131" i="1"/>
  <c r="AR131" i="1"/>
  <c r="AT130" i="1"/>
  <c r="AS130" i="1"/>
  <c r="AR130" i="1"/>
  <c r="AT129" i="1"/>
  <c r="AS129" i="1"/>
  <c r="AR129" i="1"/>
  <c r="AT128" i="1"/>
  <c r="AS128" i="1"/>
  <c r="AR128" i="1"/>
  <c r="AT127" i="1"/>
  <c r="AS127" i="1"/>
  <c r="AR127" i="1"/>
  <c r="AT126" i="1"/>
  <c r="AS126" i="1"/>
  <c r="AT125" i="1"/>
  <c r="AS125" i="1"/>
  <c r="AT124" i="1"/>
  <c r="AS124" i="1"/>
  <c r="AT123" i="1"/>
  <c r="AS123" i="1"/>
  <c r="AR123" i="1"/>
  <c r="AT122" i="1"/>
  <c r="AS122" i="1"/>
  <c r="AT121" i="1"/>
  <c r="AS121" i="1"/>
  <c r="AT120" i="1"/>
  <c r="AS120" i="1"/>
  <c r="AT119" i="1"/>
  <c r="AS119" i="1"/>
  <c r="AR119" i="1"/>
  <c r="AT118" i="1"/>
  <c r="AS118" i="1"/>
  <c r="AR118" i="1"/>
  <c r="AT117" i="1"/>
  <c r="AS117" i="1"/>
  <c r="AT116" i="1"/>
  <c r="AS116" i="1"/>
  <c r="AR116" i="1"/>
  <c r="AT115" i="1"/>
  <c r="AS115" i="1"/>
  <c r="AT114" i="1"/>
  <c r="AS114" i="1"/>
  <c r="AR114" i="1"/>
  <c r="AT113" i="1"/>
  <c r="AS113" i="1"/>
  <c r="AR113" i="1"/>
  <c r="AT112" i="1"/>
  <c r="AS112" i="1"/>
  <c r="AR112" i="1"/>
  <c r="AT111" i="1"/>
  <c r="AS111" i="1"/>
  <c r="AR111" i="1"/>
  <c r="AT110" i="1"/>
  <c r="AS110" i="1"/>
  <c r="AR110" i="1"/>
  <c r="AT109" i="1"/>
  <c r="AS109" i="1"/>
  <c r="AT108" i="1"/>
  <c r="AS108" i="1"/>
  <c r="AR108" i="1"/>
  <c r="AT107" i="1"/>
  <c r="AS107" i="1"/>
  <c r="AR107" i="1"/>
  <c r="AT106" i="1"/>
  <c r="AS106" i="1"/>
  <c r="AR106" i="1"/>
  <c r="AT105" i="1"/>
  <c r="AS105" i="1"/>
  <c r="AR105" i="1"/>
  <c r="AT104" i="1"/>
  <c r="AS104" i="1"/>
  <c r="AT103" i="1"/>
  <c r="AS103" i="1"/>
  <c r="AT102" i="1"/>
  <c r="AS102" i="1"/>
  <c r="AT101" i="1"/>
  <c r="AS101" i="1"/>
  <c r="AT100" i="1"/>
  <c r="AS100" i="1"/>
  <c r="AR100" i="1"/>
  <c r="AT99" i="1"/>
  <c r="AS99" i="1"/>
  <c r="AT98" i="1"/>
  <c r="AS98" i="1"/>
  <c r="AR98" i="1"/>
  <c r="AT97" i="1"/>
  <c r="AS97" i="1"/>
  <c r="AR97" i="1"/>
  <c r="AT96" i="1"/>
  <c r="AS96" i="1"/>
  <c r="AT95" i="1"/>
  <c r="AS95" i="1"/>
  <c r="AT94" i="1"/>
  <c r="AS94" i="1"/>
  <c r="AT93" i="1"/>
  <c r="AS93" i="1"/>
  <c r="AT92" i="1"/>
  <c r="AS92" i="1"/>
  <c r="AT91" i="1"/>
  <c r="AS91" i="1"/>
  <c r="AT90" i="1"/>
  <c r="AS90" i="1"/>
  <c r="AR90" i="1"/>
  <c r="AT89" i="1"/>
  <c r="AS89" i="1"/>
  <c r="AR89" i="1"/>
  <c r="AT88" i="1"/>
  <c r="AS88" i="1"/>
  <c r="AR88" i="1"/>
  <c r="AT87" i="1"/>
  <c r="AS87" i="1"/>
  <c r="AR87" i="1"/>
  <c r="AT86" i="1"/>
  <c r="AS86" i="1"/>
  <c r="AT85" i="1"/>
  <c r="AS85" i="1"/>
  <c r="AR85" i="1"/>
  <c r="AT84" i="1"/>
  <c r="AS84" i="1"/>
  <c r="AT83" i="1"/>
  <c r="AS83" i="1"/>
  <c r="AT82" i="1"/>
  <c r="AS82" i="1"/>
  <c r="AR82" i="1"/>
  <c r="AT81" i="1"/>
  <c r="AS81" i="1"/>
  <c r="AT80" i="1"/>
  <c r="AS80" i="1"/>
  <c r="AR80" i="1"/>
  <c r="AT79" i="1"/>
  <c r="AS79" i="1"/>
  <c r="AT78" i="1"/>
  <c r="AS78" i="1"/>
  <c r="AT77" i="1"/>
  <c r="AS77" i="1"/>
  <c r="AR77" i="1"/>
  <c r="AT76" i="1"/>
  <c r="AS76" i="1"/>
  <c r="AT75" i="1"/>
  <c r="AS75" i="1"/>
  <c r="AR75" i="1"/>
  <c r="AT74" i="1"/>
  <c r="AS74" i="1"/>
  <c r="AT73" i="1"/>
  <c r="AS73" i="1"/>
  <c r="AR73" i="1"/>
  <c r="AT72" i="1"/>
  <c r="AS72" i="1"/>
  <c r="AT71" i="1"/>
  <c r="AS71" i="1"/>
  <c r="AT70" i="1"/>
  <c r="AS70" i="1"/>
  <c r="AR70" i="1"/>
  <c r="AT69" i="1"/>
  <c r="AS69" i="1"/>
  <c r="AT68" i="1"/>
  <c r="AS68" i="1"/>
  <c r="AR68" i="1"/>
  <c r="AT67" i="1"/>
  <c r="AS67" i="1"/>
  <c r="AT66" i="1"/>
  <c r="AS66" i="1"/>
  <c r="AT65" i="1"/>
  <c r="AS65" i="1"/>
  <c r="AR65" i="1"/>
  <c r="AT64" i="1"/>
  <c r="AS64" i="1"/>
  <c r="AR64" i="1"/>
  <c r="AT63" i="1"/>
  <c r="AS63" i="1"/>
  <c r="AR63" i="1"/>
  <c r="AT62" i="1"/>
  <c r="AS62" i="1"/>
  <c r="AT61" i="1"/>
  <c r="AS61" i="1"/>
  <c r="AT60" i="1"/>
  <c r="AS60" i="1"/>
  <c r="AT59" i="1"/>
  <c r="AS59" i="1"/>
  <c r="AR59" i="1"/>
  <c r="AT58" i="1"/>
  <c r="AS58" i="1"/>
  <c r="AT57" i="1"/>
  <c r="AS57" i="1"/>
  <c r="AT56" i="1"/>
  <c r="AS56" i="1"/>
  <c r="AT55" i="1"/>
  <c r="AS55" i="1"/>
  <c r="AR55" i="1"/>
  <c r="AT54" i="1"/>
  <c r="AS54" i="1"/>
  <c r="AT53" i="1"/>
  <c r="AS53" i="1"/>
  <c r="AR53" i="1"/>
  <c r="AT52" i="1"/>
  <c r="AS52" i="1"/>
  <c r="AR52" i="1"/>
  <c r="AT51" i="1"/>
  <c r="AS51" i="1"/>
  <c r="AT50" i="1"/>
  <c r="AS50" i="1"/>
  <c r="AR50" i="1"/>
  <c r="AT49" i="1"/>
  <c r="AS49" i="1"/>
  <c r="AT48" i="1"/>
  <c r="AS48" i="1"/>
  <c r="AT47" i="1"/>
  <c r="AS47" i="1"/>
  <c r="AT46" i="1"/>
  <c r="AS46" i="1"/>
  <c r="AR46" i="1"/>
  <c r="AT45" i="1"/>
  <c r="AS45" i="1"/>
  <c r="AR45" i="1"/>
  <c r="AT44" i="1"/>
  <c r="AS44" i="1"/>
  <c r="AR44" i="1"/>
  <c r="AT43" i="1"/>
  <c r="AS43" i="1"/>
  <c r="AR43" i="1"/>
  <c r="AT42" i="1"/>
  <c r="AS42" i="1"/>
  <c r="AT41" i="1"/>
  <c r="AS41" i="1"/>
  <c r="AR41" i="1"/>
  <c r="AT40" i="1"/>
  <c r="AS40" i="1"/>
  <c r="AR40" i="1"/>
  <c r="AT39" i="1"/>
  <c r="AS39" i="1"/>
  <c r="AT38" i="1"/>
  <c r="AS38" i="1"/>
  <c r="AR38" i="1"/>
  <c r="AT37" i="1"/>
  <c r="AS37" i="1"/>
  <c r="AT36" i="1"/>
  <c r="AS36" i="1"/>
  <c r="AT35" i="1"/>
  <c r="AS35" i="1"/>
  <c r="AT34" i="1"/>
  <c r="AS34" i="1"/>
  <c r="AT33" i="1"/>
  <c r="AS33" i="1"/>
  <c r="AT32" i="1"/>
  <c r="AS32" i="1"/>
  <c r="AR32" i="1"/>
  <c r="AT31" i="1"/>
  <c r="AS31" i="1"/>
  <c r="AR31" i="1"/>
  <c r="AT30" i="1"/>
  <c r="AS30" i="1"/>
  <c r="AT29" i="1"/>
  <c r="AS29" i="1"/>
  <c r="AT28" i="1"/>
  <c r="AS28" i="1"/>
  <c r="AR28" i="1"/>
  <c r="AT27" i="1"/>
  <c r="AS27" i="1"/>
  <c r="AR27" i="1"/>
  <c r="AT26" i="1"/>
  <c r="AS26" i="1"/>
  <c r="AR26" i="1"/>
  <c r="AT25" i="1"/>
  <c r="AS25" i="1"/>
  <c r="AT24" i="1"/>
  <c r="AS24" i="1"/>
  <c r="AR24" i="1"/>
  <c r="AT23" i="1"/>
  <c r="AS23" i="1"/>
  <c r="AT22" i="1"/>
  <c r="AS22" i="1"/>
  <c r="AT21" i="1"/>
  <c r="AS21" i="1"/>
  <c r="AT20" i="1"/>
  <c r="AS20" i="1"/>
  <c r="AR20" i="1"/>
  <c r="AT19" i="1"/>
  <c r="AS19" i="1"/>
  <c r="AT18" i="1"/>
  <c r="AS18" i="1"/>
  <c r="AT17" i="1"/>
  <c r="AS17" i="1"/>
  <c r="AT16" i="1"/>
  <c r="AS16" i="1"/>
  <c r="AR16" i="1"/>
  <c r="AT15" i="1"/>
  <c r="AS15" i="1"/>
  <c r="AR15" i="1"/>
  <c r="AT14" i="1"/>
  <c r="AS14" i="1"/>
  <c r="AR14" i="1"/>
  <c r="AT13" i="1"/>
  <c r="AS13" i="1"/>
  <c r="AR13" i="1"/>
  <c r="AT12" i="1"/>
  <c r="AS12" i="1"/>
  <c r="AR12" i="1"/>
  <c r="AT11" i="1"/>
  <c r="AS11" i="1"/>
  <c r="AT10" i="1"/>
  <c r="AS10" i="1"/>
  <c r="AT9" i="1"/>
  <c r="AS9" i="1"/>
  <c r="AT8" i="1"/>
  <c r="AS8" i="1"/>
  <c r="AT7" i="1"/>
  <c r="AS7" i="1"/>
  <c r="AT6" i="1"/>
  <c r="AS6" i="1"/>
  <c r="AR6" i="1"/>
  <c r="AT5" i="1"/>
  <c r="AS5" i="1"/>
  <c r="AR5" i="1"/>
  <c r="AT4" i="1"/>
  <c r="AS4" i="1"/>
  <c r="AT3" i="1"/>
  <c r="AS3" i="1"/>
  <c r="AR3" i="1"/>
  <c r="AT2" i="1"/>
  <c r="AS2" i="1"/>
  <c r="AR2" i="1"/>
</calcChain>
</file>

<file path=xl/sharedStrings.xml><?xml version="1.0" encoding="utf-8"?>
<sst xmlns="http://schemas.openxmlformats.org/spreadsheetml/2006/main" count="6167" uniqueCount="2755">
  <si>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</si>
  <si>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</si>
  <si>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</si>
  <si>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</si>
  <si>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</si>
  <si>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</si>
  <si>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</si>
  <si>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</si>
  <si>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</si>
  <si>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</si>
  <si>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</si>
  <si>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</si>
  <si>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</si>
  <si>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</si>
  <si>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</si>
  <si>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</si>
  <si>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</si>
  <si>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</si>
  <si>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</si>
  <si>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</si>
  <si>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</si>
  <si>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</si>
  <si>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</si>
  <si>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</si>
  <si>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</si>
  <si>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</si>
  <si>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</si>
  <si>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</si>
  <si>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</si>
  <si>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</si>
  <si>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</si>
  <si>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</si>
  <si>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</si>
  <si>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</si>
  <si>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</si>
  <si>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</si>
  <si>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</si>
  <si>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</si>
  <si>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</si>
  <si>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</si>
  <si>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</si>
  <si>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</si>
  <si>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</si>
  <si>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</si>
  <si>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</si>
  <si>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</si>
  <si>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</si>
  <si>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</si>
  <si>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</si>
  <si>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</si>
  <si>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</si>
  <si>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</si>
  <si>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</si>
  <si>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</si>
  <si>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</si>
  <si>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HG1552.R8 M6</t>
  </si>
  <si>
    <t>0                      HG 1552000R  8                  M  6</t>
  </si>
  <si>
    <t>The Rothschilds; a family portrait.</t>
  </si>
  <si>
    <t>No</t>
  </si>
  <si>
    <t>1</t>
  </si>
  <si>
    <t>0</t>
  </si>
  <si>
    <t>Morton, Frederic.</t>
  </si>
  <si>
    <t>New York, Atheneum, 1962 [c1961]</t>
  </si>
  <si>
    <t>1962</t>
  </si>
  <si>
    <t>[1st ed.]</t>
  </si>
  <si>
    <t>eng</t>
  </si>
  <si>
    <t>nyu</t>
  </si>
  <si>
    <t xml:space="preserve">HG </t>
  </si>
  <si>
    <t>2003-02-07</t>
  </si>
  <si>
    <t>1997-06-30</t>
  </si>
  <si>
    <t>5577200044:eng</t>
  </si>
  <si>
    <t>602145</t>
  </si>
  <si>
    <t>991003040739702656</t>
  </si>
  <si>
    <t>2259816000002656</t>
  </si>
  <si>
    <t>BOOK</t>
  </si>
  <si>
    <t>32285002905015</t>
  </si>
  <si>
    <t>893258018</t>
  </si>
  <si>
    <t>HG1573 .L47 1984</t>
  </si>
  <si>
    <t>0                      HG 1573000L  47          1984</t>
  </si>
  <si>
    <t>In banks we trust / Penny Lernoux.</t>
  </si>
  <si>
    <t>Yes</t>
  </si>
  <si>
    <t>Lernoux, Penny, 1940-</t>
  </si>
  <si>
    <t>Garden City, N.Y. : Anchor Press/Doubleday, 1984.</t>
  </si>
  <si>
    <t>1984</t>
  </si>
  <si>
    <t>1st ed.</t>
  </si>
  <si>
    <t>1993-03-11</t>
  </si>
  <si>
    <t>1992-04-28</t>
  </si>
  <si>
    <t>7075693:eng</t>
  </si>
  <si>
    <t>9829509</t>
  </si>
  <si>
    <t>991001626259702656</t>
  </si>
  <si>
    <t>2269907090002656</t>
  </si>
  <si>
    <t>9780385183291</t>
  </si>
  <si>
    <t>32285001090157</t>
  </si>
  <si>
    <t>893232101</t>
  </si>
  <si>
    <t>HG1601 .B175 1995</t>
  </si>
  <si>
    <t>0                      HG 1601000B  175         1995</t>
  </si>
  <si>
    <t>Banking and financial systems in selected countries / James R. Gale, editor.</t>
  </si>
  <si>
    <t>Lewiston, NY : Edwin Mellen Press, 1995.</t>
  </si>
  <si>
    <t>1995</t>
  </si>
  <si>
    <t>2004-10-14</t>
  </si>
  <si>
    <t>33440443:eng</t>
  </si>
  <si>
    <t>31290698</t>
  </si>
  <si>
    <t>991004346709702656</t>
  </si>
  <si>
    <t>2265803590002656</t>
  </si>
  <si>
    <t>9780773491434</t>
  </si>
  <si>
    <t>32285005004444</t>
  </si>
  <si>
    <t>893700118</t>
  </si>
  <si>
    <t>HG1616 .L2</t>
  </si>
  <si>
    <t>0                      HG 1616000L  2</t>
  </si>
  <si>
    <t>Group banking; a form of banking concentration and control in the United States.</t>
  </si>
  <si>
    <t>Lamb, W. Ralph (Ward Ralph)</t>
  </si>
  <si>
    <t>New Brunswick, N.J., Rutgers University Press [1962]</t>
  </si>
  <si>
    <t>nju</t>
  </si>
  <si>
    <t>1998-02-10</t>
  </si>
  <si>
    <t>1997-07-01</t>
  </si>
  <si>
    <t>365481639:eng</t>
  </si>
  <si>
    <t>248879</t>
  </si>
  <si>
    <t>991001931189702656</t>
  </si>
  <si>
    <t>2258688660002656</t>
  </si>
  <si>
    <t>32285002905346</t>
  </si>
  <si>
    <t>893408489</t>
  </si>
  <si>
    <t>HG1616 .S63</t>
  </si>
  <si>
    <t>0                      HG 1616000S  63</t>
  </si>
  <si>
    <t>Guideposts for banking expansion.</t>
  </si>
  <si>
    <t>Spofford, Gavin.</t>
  </si>
  <si>
    <t>New Brunswick, N.J., Rutgers University Press [1961]</t>
  </si>
  <si>
    <t>1961</t>
  </si>
  <si>
    <t>The Rutgers banking series</t>
  </si>
  <si>
    <t>1337775:eng</t>
  </si>
  <si>
    <t>250801</t>
  </si>
  <si>
    <t>991001942709702656</t>
  </si>
  <si>
    <t>2266968870002656</t>
  </si>
  <si>
    <t>32285002905387</t>
  </si>
  <si>
    <t>893804047</t>
  </si>
  <si>
    <t>HG1616.M3 R55 1988</t>
  </si>
  <si>
    <t>0                      HG 1616000M  3                  R  55          1988</t>
  </si>
  <si>
    <t>Cross-selling financial services / Dwight S. Ritter.</t>
  </si>
  <si>
    <t>Ritter, Dwight S.</t>
  </si>
  <si>
    <t>New York : Wiley, c1988.</t>
  </si>
  <si>
    <t>1988</t>
  </si>
  <si>
    <t>1998-04-04</t>
  </si>
  <si>
    <t>1992-10-13</t>
  </si>
  <si>
    <t>1144791038:eng</t>
  </si>
  <si>
    <t>17384724</t>
  </si>
  <si>
    <t>991001210189702656</t>
  </si>
  <si>
    <t>2269604830002656</t>
  </si>
  <si>
    <t>9780471632757</t>
  </si>
  <si>
    <t>32285001343523</t>
  </si>
  <si>
    <t>893791274</t>
  </si>
  <si>
    <t>HG1616.P8 G76</t>
  </si>
  <si>
    <t>0                      HG 1616000P  8                  G  76</t>
  </si>
  <si>
    <t>Consumer psychology for humanized bank marketing [by] Martin M. Grossack. With the assistance of Bruce [i.e., Laurence] McKinney [and] Robert Richmond.</t>
  </si>
  <si>
    <t>Grossack, Martin M.</t>
  </si>
  <si>
    <t>Hull, Mass., Institute for Consumer Psychology; distributed by Schenkman Pub. Co., Cambridge [1971]</t>
  </si>
  <si>
    <t>1971</t>
  </si>
  <si>
    <t>mau</t>
  </si>
  <si>
    <t>2002-04-24</t>
  </si>
  <si>
    <t>1468361:eng</t>
  </si>
  <si>
    <t>413976</t>
  </si>
  <si>
    <t>991002724729702656</t>
  </si>
  <si>
    <t>2268140570002656</t>
  </si>
  <si>
    <t>32285002905379</t>
  </si>
  <si>
    <t>893798927</t>
  </si>
  <si>
    <t>HG1616.P8 T76 1987</t>
  </si>
  <si>
    <t>0                      HG 1616000P  8                  T  76          1987</t>
  </si>
  <si>
    <t>Public affairs in financial services / by Kathryn L. Troy.</t>
  </si>
  <si>
    <t>Troy, Kathryn.</t>
  </si>
  <si>
    <t>Washington, D.C. : The Conference Board, Inc., 1987.</t>
  </si>
  <si>
    <t>1987</t>
  </si>
  <si>
    <t>dcu</t>
  </si>
  <si>
    <t>Conference Board report ; no. 899</t>
  </si>
  <si>
    <t>1994-10-23</t>
  </si>
  <si>
    <t>23200839:eng</t>
  </si>
  <si>
    <t>21229825</t>
  </si>
  <si>
    <t>991001156199702656</t>
  </si>
  <si>
    <t>2258921050002656</t>
  </si>
  <si>
    <t>9780823703425</t>
  </si>
  <si>
    <t>32285001343549</t>
  </si>
  <si>
    <t>893608601</t>
  </si>
  <si>
    <t>HG1641 .J34</t>
  </si>
  <si>
    <t>0                      HG 1641000J  34</t>
  </si>
  <si>
    <t>Credit rationing and the commercial loan market; an econometric study of the structure of the commercial loan market [by] Dwight M. Jaffee.</t>
  </si>
  <si>
    <t>Jaffee, Dwight M., 1943-2016.</t>
  </si>
  <si>
    <t>New York, Wiley [1971]</t>
  </si>
  <si>
    <t>2002-04-11</t>
  </si>
  <si>
    <t>1339697:eng</t>
  </si>
  <si>
    <t>149855</t>
  </si>
  <si>
    <t>991000857969702656</t>
  </si>
  <si>
    <t>2260729750002656</t>
  </si>
  <si>
    <t>9780471437055</t>
  </si>
  <si>
    <t>32285002905437</t>
  </si>
  <si>
    <t>893502886</t>
  </si>
  <si>
    <t>HG1710 .E43 1999</t>
  </si>
  <si>
    <t>0                      HG 1710000E  43          1999</t>
  </si>
  <si>
    <t>Electronic banking and treasury security / edited by Brian Welch.</t>
  </si>
  <si>
    <t>Boca Raton, FL : CRC Press : Woodhead Pub. and the Association of Corporate Treasurers, c1999.</t>
  </si>
  <si>
    <t>1999</t>
  </si>
  <si>
    <t>2nd ed.</t>
  </si>
  <si>
    <t>flu</t>
  </si>
  <si>
    <t>2000-10-18</t>
  </si>
  <si>
    <t>25293747:eng</t>
  </si>
  <si>
    <t>40964959</t>
  </si>
  <si>
    <t>991003292969702656</t>
  </si>
  <si>
    <t>2268199260002656</t>
  </si>
  <si>
    <t>9780849305290</t>
  </si>
  <si>
    <t>32285003768602</t>
  </si>
  <si>
    <t>893711232</t>
  </si>
  <si>
    <t>HG173 .J25 1972</t>
  </si>
  <si>
    <t>0                      HG 0173000J  25          1972</t>
  </si>
  <si>
    <t>Financial institutions / [by] Donald P. Jacobs, Loring C. Farwell [and] Edwin H. Neave.</t>
  </si>
  <si>
    <t>Jacobs, Donald P.</t>
  </si>
  <si>
    <t>Homewood, Ill., R. D. Irwin, 1972.</t>
  </si>
  <si>
    <t>1972</t>
  </si>
  <si>
    <t>5th ed.</t>
  </si>
  <si>
    <t>ilu</t>
  </si>
  <si>
    <t>2002-02-22</t>
  </si>
  <si>
    <t>1990-02-07</t>
  </si>
  <si>
    <t>1816313048:eng</t>
  </si>
  <si>
    <t>247042</t>
  </si>
  <si>
    <t>991001926929702656</t>
  </si>
  <si>
    <t>2259641560002656</t>
  </si>
  <si>
    <t>32285000033570</t>
  </si>
  <si>
    <t>893891945</t>
  </si>
  <si>
    <t>HG174 .D68 1990</t>
  </si>
  <si>
    <t>0                      HG 0174000D  68          1990</t>
  </si>
  <si>
    <t>Prices in financial markets / Michael U. Dothan.</t>
  </si>
  <si>
    <t>Dothan, Michael U.</t>
  </si>
  <si>
    <t>New York : Oxford University Press, 1990.</t>
  </si>
  <si>
    <t>1990</t>
  </si>
  <si>
    <t>2004-06-08</t>
  </si>
  <si>
    <t>1990-06-05</t>
  </si>
  <si>
    <t>22231226:eng</t>
  </si>
  <si>
    <t>20318194</t>
  </si>
  <si>
    <t>991001561949702656</t>
  </si>
  <si>
    <t>2257608040002656</t>
  </si>
  <si>
    <t>9780195053128</t>
  </si>
  <si>
    <t>32285000158955</t>
  </si>
  <si>
    <t>893334386</t>
  </si>
  <si>
    <t>HG177 .R67 1991</t>
  </si>
  <si>
    <t>0                      HG 0177000R  67          1991</t>
  </si>
  <si>
    <t>Achieving excellence in fund raising : a comprehensive guide to principles, strategies, and methods / Henry A. Rosso and associates ; foreword by Robert L. Payton.</t>
  </si>
  <si>
    <t>Rosso, Henry A., 1917-1999.</t>
  </si>
  <si>
    <t>San Francisco : Jossey-Bass Publishers, 1991.</t>
  </si>
  <si>
    <t>1991</t>
  </si>
  <si>
    <t>cau</t>
  </si>
  <si>
    <t>The Jossey-Bass nonprofit sector series</t>
  </si>
  <si>
    <t>2006-09-20</t>
  </si>
  <si>
    <t>4095583768:eng</t>
  </si>
  <si>
    <t>23766444</t>
  </si>
  <si>
    <t>991004922839702656</t>
  </si>
  <si>
    <t>2269394040002656</t>
  </si>
  <si>
    <t>9781555423872</t>
  </si>
  <si>
    <t>32285005224307</t>
  </si>
  <si>
    <t>893883112</t>
  </si>
  <si>
    <t>HG178.3 .C65 2002</t>
  </si>
  <si>
    <t>0                      HG 0178300C  65          2002</t>
  </si>
  <si>
    <t>The commercialization of microfinance : balancing business and development / edited by Deborah Drake and Elisabeth Rhyne.</t>
  </si>
  <si>
    <t>Bloomfield, Conn. : Kumarian Press, c2002.</t>
  </si>
  <si>
    <t>2002</t>
  </si>
  <si>
    <t>ctu</t>
  </si>
  <si>
    <t>2006-03-08</t>
  </si>
  <si>
    <t>2006-02-27</t>
  </si>
  <si>
    <t>890853149:eng</t>
  </si>
  <si>
    <t>49843479</t>
  </si>
  <si>
    <t>991004752179702656</t>
  </si>
  <si>
    <t>2255892760002656</t>
  </si>
  <si>
    <t>9781565491533</t>
  </si>
  <si>
    <t>32285005164008</t>
  </si>
  <si>
    <t>893876534</t>
  </si>
  <si>
    <t>HG178.3 .W74 1999</t>
  </si>
  <si>
    <t>0                      HG 0178300W  74          1999</t>
  </si>
  <si>
    <t>Microfinance systems : designing quality financial services for the poor / Graham A.N. Wright.</t>
  </si>
  <si>
    <t>Wright, Graham A. N., 1960-</t>
  </si>
  <si>
    <t>London ; New York : Zed Books Dhaka : University Press, a New York : Distributed in the USA exclusively by St Martin's Press, c2000.</t>
  </si>
  <si>
    <t>2000</t>
  </si>
  <si>
    <t>enk</t>
  </si>
  <si>
    <t>2001-11-01</t>
  </si>
  <si>
    <t>197893027:eng</t>
  </si>
  <si>
    <t>42649787</t>
  </si>
  <si>
    <t>991003591399702656</t>
  </si>
  <si>
    <t>2263354580002656</t>
  </si>
  <si>
    <t>9781856497879</t>
  </si>
  <si>
    <t>32285004417514</t>
  </si>
  <si>
    <t>893422732</t>
  </si>
  <si>
    <t>HG178.33.R8 B89 2007</t>
  </si>
  <si>
    <t>0                      HG 0178330R  8                  B  89          2007</t>
  </si>
  <si>
    <t>Banking on small business : microfinance in contemporary Russia / Gail Buyske.</t>
  </si>
  <si>
    <t>Buyske, Gail.</t>
  </si>
  <si>
    <t>Ithaca : Cornell University Press, 2007.</t>
  </si>
  <si>
    <t>2007</t>
  </si>
  <si>
    <t>2007-11-05</t>
  </si>
  <si>
    <t>875396016:eng</t>
  </si>
  <si>
    <t>84838208</t>
  </si>
  <si>
    <t>991005137579702656</t>
  </si>
  <si>
    <t>2259273810002656</t>
  </si>
  <si>
    <t>9780801445781</t>
  </si>
  <si>
    <t>32285005365316</t>
  </si>
  <si>
    <t>893600682</t>
  </si>
  <si>
    <t>HG179 .L66 2009</t>
  </si>
  <si>
    <t>0                      HG 0179000L  66          2009</t>
  </si>
  <si>
    <t>Money / Eric Lonergan.</t>
  </si>
  <si>
    <t>Lonergan, Eric.</t>
  </si>
  <si>
    <t>Durham, UK : Acumen Pub. Ltd., c2009.</t>
  </si>
  <si>
    <t>2009</t>
  </si>
  <si>
    <t>xxk</t>
  </si>
  <si>
    <t>Art of living series</t>
  </si>
  <si>
    <t>2010-02-02</t>
  </si>
  <si>
    <t>197154073:eng</t>
  </si>
  <si>
    <t>320185536</t>
  </si>
  <si>
    <t>991005358759702656</t>
  </si>
  <si>
    <t>2271634570002656</t>
  </si>
  <si>
    <t>9781844652037</t>
  </si>
  <si>
    <t>32285005570931</t>
  </si>
  <si>
    <t>893707732</t>
  </si>
  <si>
    <t>HG179 .S8417 1978</t>
  </si>
  <si>
    <t>0                      HG 0179000S  8417        1978</t>
  </si>
  <si>
    <t>Moneywise : the Prentice-Hall book of personal money management / Richard J. Stillman.</t>
  </si>
  <si>
    <t>Stillman, Richard Joseph, 1917-</t>
  </si>
  <si>
    <t>Englewood Cliffs, N.J. : Prentice-Hall, c1978.</t>
  </si>
  <si>
    <t>1978</t>
  </si>
  <si>
    <t>1995-02-27</t>
  </si>
  <si>
    <t>1992-10-08</t>
  </si>
  <si>
    <t>375730475:eng</t>
  </si>
  <si>
    <t>3481037</t>
  </si>
  <si>
    <t>991004444809702656</t>
  </si>
  <si>
    <t>2264697880002656</t>
  </si>
  <si>
    <t>9780136007340</t>
  </si>
  <si>
    <t>32285001342384</t>
  </si>
  <si>
    <t>893417634</t>
  </si>
  <si>
    <t>HG181 .B8</t>
  </si>
  <si>
    <t>0                      HG 0181000B  8</t>
  </si>
  <si>
    <t>Other people's money : and how the bankers use it / by Louis D. Brandeis.</t>
  </si>
  <si>
    <t>Brandeis, Louis Dembitz, 1856-1941.</t>
  </si>
  <si>
    <t>New York : F.A. Stokes, c1914.</t>
  </si>
  <si>
    <t>1914</t>
  </si>
  <si>
    <t>2009-02-11</t>
  </si>
  <si>
    <t>1997-06-24</t>
  </si>
  <si>
    <t>431596:eng</t>
  </si>
  <si>
    <t>13721951</t>
  </si>
  <si>
    <t>991000864849702656</t>
  </si>
  <si>
    <t>2268868000002656</t>
  </si>
  <si>
    <t>32285002856952</t>
  </si>
  <si>
    <t>893534335</t>
  </si>
  <si>
    <t>HG181 .B8 1995</t>
  </si>
  <si>
    <t>0                      HG 0181000B  8           1995</t>
  </si>
  <si>
    <t>Other people's money and how the bankers use it / by Louis D. Brandeis ; edited with an introduction by Melvin I. Urofsky.</t>
  </si>
  <si>
    <t>Boston : Bedford Books of St. Martin's Press, 1995.</t>
  </si>
  <si>
    <t>The Bedford Series in History and Culture</t>
  </si>
  <si>
    <t>1996-01-09</t>
  </si>
  <si>
    <t>1995-06-01</t>
  </si>
  <si>
    <t>32458007</t>
  </si>
  <si>
    <t>991002494029702656</t>
  </si>
  <si>
    <t>2263098430002656</t>
  </si>
  <si>
    <t>9780312103149</t>
  </si>
  <si>
    <t>32285002056207</t>
  </si>
  <si>
    <t>893510815</t>
  </si>
  <si>
    <t>HG181 .D346 1994</t>
  </si>
  <si>
    <t>0                      HG 0181000D  346         1994</t>
  </si>
  <si>
    <t>The evolution of U.S. finance / Jane W. D'Arista.</t>
  </si>
  <si>
    <t>V.1</t>
  </si>
  <si>
    <t>D'Arista, Jane W.</t>
  </si>
  <si>
    <t>Armonk, N.Y. : M.E. Sharpe, c1994.</t>
  </si>
  <si>
    <t>1994</t>
  </si>
  <si>
    <t>Columbia University seminar series</t>
  </si>
  <si>
    <t>1999-11-11</t>
  </si>
  <si>
    <t>1998-03-04</t>
  </si>
  <si>
    <t>3145149090:eng</t>
  </si>
  <si>
    <t>29029759</t>
  </si>
  <si>
    <t>991002249569702656</t>
  </si>
  <si>
    <t>2256258200002656</t>
  </si>
  <si>
    <t>9781563242304</t>
  </si>
  <si>
    <t>32285003356523</t>
  </si>
  <si>
    <t>893798365</t>
  </si>
  <si>
    <t>HG181 .D6 1969</t>
  </si>
  <si>
    <t>0                      HG 0181000D  6           1969</t>
  </si>
  <si>
    <t>Democracy and finance; the addresses and public statements of William O. Douglas as member and chairman of the Securities and Exchange Commission. Edited, with an introd. and notes, by James Allen.</t>
  </si>
  <si>
    <t>Douglas, William O. (William Orville), 1898-1980.</t>
  </si>
  <si>
    <t>Port Washington, N.Y., Kennikat Press [1969, c1940]</t>
  </si>
  <si>
    <t>1969</t>
  </si>
  <si>
    <t>Essay and general literature index reprint series</t>
  </si>
  <si>
    <t>1998-10-17</t>
  </si>
  <si>
    <t>198498267:eng</t>
  </si>
  <si>
    <t>28364</t>
  </si>
  <si>
    <t>991000071439702656</t>
  </si>
  <si>
    <t>2264918150002656</t>
  </si>
  <si>
    <t>9780804605564</t>
  </si>
  <si>
    <t>32285002856994</t>
  </si>
  <si>
    <t>893683132</t>
  </si>
  <si>
    <t>HG181 .G37 1984</t>
  </si>
  <si>
    <t>0                      HG 0181000G  37          1984</t>
  </si>
  <si>
    <t>The insider's guide to the financial services revolution / Alan Gart.</t>
  </si>
  <si>
    <t>Gart, Alan.</t>
  </si>
  <si>
    <t>New York : McGraw-Hill, c1984.</t>
  </si>
  <si>
    <t>20641758:eng</t>
  </si>
  <si>
    <t>9066527</t>
  </si>
  <si>
    <t>991000120919702656</t>
  </si>
  <si>
    <t>2269866060002656</t>
  </si>
  <si>
    <t>9780070228917</t>
  </si>
  <si>
    <t>32285001342434</t>
  </si>
  <si>
    <t>893320823</t>
  </si>
  <si>
    <t>HG181 .H35</t>
  </si>
  <si>
    <t>0                      HG 0181000H  35</t>
  </si>
  <si>
    <t>Financial management of financial institutions / George H. Hempel, Jess B. Yawitz.</t>
  </si>
  <si>
    <t>Hempel, George H.</t>
  </si>
  <si>
    <t>Englewood Cliffs, N.J. : Prentice-Hall, c1977.</t>
  </si>
  <si>
    <t>1977</t>
  </si>
  <si>
    <t>Prentice-Hall foundations of finance series</t>
  </si>
  <si>
    <t>1992-05-06</t>
  </si>
  <si>
    <t>3856766645:eng</t>
  </si>
  <si>
    <t>2425178</t>
  </si>
  <si>
    <t>991004120629702656</t>
  </si>
  <si>
    <t>2264335800002656</t>
  </si>
  <si>
    <t>9780133159783</t>
  </si>
  <si>
    <t>32285001120509</t>
  </si>
  <si>
    <t>893506432</t>
  </si>
  <si>
    <t>HG181 .M297 2002</t>
  </si>
  <si>
    <t>0                      HG 0181000M  297         2002</t>
  </si>
  <si>
    <t>A financial history of the United States / Jerry W. Markham.</t>
  </si>
  <si>
    <t>V. 2</t>
  </si>
  <si>
    <t>Markham, Jerry W.</t>
  </si>
  <si>
    <t>Armonk, N.Y. : M.E. Sharpe, c2002.</t>
  </si>
  <si>
    <t>2002-02-06</t>
  </si>
  <si>
    <t>5218565186:eng</t>
  </si>
  <si>
    <t>45636942</t>
  </si>
  <si>
    <t>991003664389702656</t>
  </si>
  <si>
    <t>2261607080002656</t>
  </si>
  <si>
    <t>9780765607300</t>
  </si>
  <si>
    <t>32285004452636</t>
  </si>
  <si>
    <t>893686795</t>
  </si>
  <si>
    <t>V. 3</t>
  </si>
  <si>
    <t>32285004452644</t>
  </si>
  <si>
    <t>893717948</t>
  </si>
  <si>
    <t>V. 1</t>
  </si>
  <si>
    <t>32285004452628</t>
  </si>
  <si>
    <t>893692984</t>
  </si>
  <si>
    <t>HG181 .R45 2000</t>
  </si>
  <si>
    <t>0                      HG 0181000R  45          2000</t>
  </si>
  <si>
    <t>Restructuring regulation and financial institutions / James R. Barth, R. Dan Brumbaugh, Jr., Glenn Yago, editors.</t>
  </si>
  <si>
    <t>Santa Monica, Calif. : Milken Institute, 2000.</t>
  </si>
  <si>
    <t>2001-03-14</t>
  </si>
  <si>
    <t>478143622:eng</t>
  </si>
  <si>
    <t>47625153</t>
  </si>
  <si>
    <t>991003353939702656</t>
  </si>
  <si>
    <t>2270727790002656</t>
  </si>
  <si>
    <t>9780967808307</t>
  </si>
  <si>
    <t>32285004305321</t>
  </si>
  <si>
    <t>893330232</t>
  </si>
  <si>
    <t>HG185.C5 Z45 1988</t>
  </si>
  <si>
    <t>0                      HG 0185000C  5                  Z  45          1988</t>
  </si>
  <si>
    <t>Landlords &amp; capitalists : the dominant class of Chile / by Maurice Zeitlin and Richard Earl Ratcliff.</t>
  </si>
  <si>
    <t>Zeitlin, Maurice, 1935-</t>
  </si>
  <si>
    <t>Princeton, N.J. : Princeton University Press, 1988.</t>
  </si>
  <si>
    <t>2002-09-30</t>
  </si>
  <si>
    <t>836737929:eng</t>
  </si>
  <si>
    <t>17227833</t>
  </si>
  <si>
    <t>991003904189702656</t>
  </si>
  <si>
    <t>2257705490002656</t>
  </si>
  <si>
    <t>9780691022765</t>
  </si>
  <si>
    <t>32285004650486</t>
  </si>
  <si>
    <t>893617977</t>
  </si>
  <si>
    <t>HG185.L3 G75</t>
  </si>
  <si>
    <t>0                      HG 0185000L  3                  G  75</t>
  </si>
  <si>
    <t>Financing development in Latin America; edited by Keith Griffin.</t>
  </si>
  <si>
    <t>Griffin, Keith B., 1938- 1938-, editor.</t>
  </si>
  <si>
    <t>London, Macmillan; New York, St. Martin's Press, 1971.</t>
  </si>
  <si>
    <t>Problems in focus series</t>
  </si>
  <si>
    <t>2006-12-06</t>
  </si>
  <si>
    <t>1333678:eng</t>
  </si>
  <si>
    <t>148338</t>
  </si>
  <si>
    <t>991000833669702656</t>
  </si>
  <si>
    <t>2259969520002656</t>
  </si>
  <si>
    <t>9780333091319</t>
  </si>
  <si>
    <t>32285002857315</t>
  </si>
  <si>
    <t>893903183</t>
  </si>
  <si>
    <t>HG186.G7 C3</t>
  </si>
  <si>
    <t>0                      HG 0186000G  7                  C  3</t>
  </si>
  <si>
    <t>Home and foreign investment, 1870-1913; studies in capital accumulation.</t>
  </si>
  <si>
    <t>Cairncross, Alec, 1911-1998.</t>
  </si>
  <si>
    <t>Cambridge [Eng.] University Press, 1953.</t>
  </si>
  <si>
    <t>1953</t>
  </si>
  <si>
    <t>2000-11-27</t>
  </si>
  <si>
    <t>195400352:eng</t>
  </si>
  <si>
    <t>1522353</t>
  </si>
  <si>
    <t>991003797709702656</t>
  </si>
  <si>
    <t>2268427830002656</t>
  </si>
  <si>
    <t>32285002857372</t>
  </si>
  <si>
    <t>893718083</t>
  </si>
  <si>
    <t>HG187.5.A2 C74 1999</t>
  </si>
  <si>
    <t>0                      HG 0187500A  2                  C  74          1999</t>
  </si>
  <si>
    <t>Credit, currencies, and culture : African financial institutions in historical perspective / edited by Endre Stiansen and Jane I. Guyer.</t>
  </si>
  <si>
    <t>Uppsala, Sweden : Nordiska Afrikainstitutet, 1999.</t>
  </si>
  <si>
    <t xml:space="preserve">sw </t>
  </si>
  <si>
    <t>2001-01-23</t>
  </si>
  <si>
    <t>20659523:eng</t>
  </si>
  <si>
    <t>44134497</t>
  </si>
  <si>
    <t>991003318809702656</t>
  </si>
  <si>
    <t>2267479160002656</t>
  </si>
  <si>
    <t>9789171064424</t>
  </si>
  <si>
    <t>32285004290796</t>
  </si>
  <si>
    <t>893774619</t>
  </si>
  <si>
    <t>HG2040.5.U5 R428 2009</t>
  </si>
  <si>
    <t>0                      HG 2040500U  5                  R  428         2009</t>
  </si>
  <si>
    <t>An insider's guide to refinancing your mortgage : money-saving secrets you need to know / David Reed.</t>
  </si>
  <si>
    <t>Reed, David (Carl David), 1957-</t>
  </si>
  <si>
    <t>New York : AMACOM, c2009.</t>
  </si>
  <si>
    <t>2008-09-22</t>
  </si>
  <si>
    <t>799428793:eng</t>
  </si>
  <si>
    <t>227033750</t>
  </si>
  <si>
    <t>991005267379702656</t>
  </si>
  <si>
    <t>2260758350002656</t>
  </si>
  <si>
    <t>9780814409350</t>
  </si>
  <si>
    <t>32285005459515</t>
  </si>
  <si>
    <t>893701297</t>
  </si>
  <si>
    <t>HG2040.5.U5 R86 2008</t>
  </si>
  <si>
    <t>0                      HG 2040500U  5                  R  86          2008</t>
  </si>
  <si>
    <t>Saving the deal : how to avoid financing fiascoes and other real estate deal killers / Tracey Rumsey.</t>
  </si>
  <si>
    <t>Rumsey, Tracey.</t>
  </si>
  <si>
    <t>New York : American Management Association, 2008.</t>
  </si>
  <si>
    <t>2008</t>
  </si>
  <si>
    <t>2008-01-17</t>
  </si>
  <si>
    <t>792404974:eng</t>
  </si>
  <si>
    <t>165082609</t>
  </si>
  <si>
    <t>991005171769702656</t>
  </si>
  <si>
    <t>2267984460002656</t>
  </si>
  <si>
    <t>9780814400302</t>
  </si>
  <si>
    <t>32285005378699</t>
  </si>
  <si>
    <t>893430981</t>
  </si>
  <si>
    <t>HG2040.5.U5 W352 2004</t>
  </si>
  <si>
    <t>0                      HG 2040500U  5                  W  352         2004</t>
  </si>
  <si>
    <t>Privatizing Fannie Mae, Freddie Mac, and the federal home loan banks : why and how / Peter J. Wallison, Thomas H. Stanton, Bert Ely.</t>
  </si>
  <si>
    <t>Wallison, Peter J.</t>
  </si>
  <si>
    <t>Washington, D.C. : AEI Press, c2004.</t>
  </si>
  <si>
    <t>2004</t>
  </si>
  <si>
    <t>2005-02-01</t>
  </si>
  <si>
    <t>797401330:eng</t>
  </si>
  <si>
    <t>55744458</t>
  </si>
  <si>
    <t>991004440339702656</t>
  </si>
  <si>
    <t>2263202650002656</t>
  </si>
  <si>
    <t>9780844741901</t>
  </si>
  <si>
    <t>32285005024327</t>
  </si>
  <si>
    <t>893876112</t>
  </si>
  <si>
    <t>HG2101 .C37 1994</t>
  </si>
  <si>
    <t>0                      HG 2101000C  37          1994</t>
  </si>
  <si>
    <t>Fringe banking : check-cashing outlets, pawnshops, and the poor / John P. Caskey.</t>
  </si>
  <si>
    <t>Caskey, John P.</t>
  </si>
  <si>
    <t>New York : Russell Sage Foundation, c1994.</t>
  </si>
  <si>
    <t>2007-11-11</t>
  </si>
  <si>
    <t>31725431:eng</t>
  </si>
  <si>
    <t>29952024</t>
  </si>
  <si>
    <t>991002308289702656</t>
  </si>
  <si>
    <t>2263490730002656</t>
  </si>
  <si>
    <t>9780871541956</t>
  </si>
  <si>
    <t>32285003356416</t>
  </si>
  <si>
    <t>893603442</t>
  </si>
  <si>
    <t>HG221 .D29</t>
  </si>
  <si>
    <t>0                      HG 0221000D  29</t>
  </si>
  <si>
    <t>Money and income; an outline of monetary economics [by] A.C.L. Day [and] Sterie T. Beza.</t>
  </si>
  <si>
    <t>Day, A. C. L. (Alan Charles Lynn)</t>
  </si>
  <si>
    <t>New York, Oxford University Press, 1960.</t>
  </si>
  <si>
    <t>1960</t>
  </si>
  <si>
    <t>[American ed.]</t>
  </si>
  <si>
    <t>2000-09-25</t>
  </si>
  <si>
    <t>3901005694:eng</t>
  </si>
  <si>
    <t>229806</t>
  </si>
  <si>
    <t>991001405149702656</t>
  </si>
  <si>
    <t>2255225470002656</t>
  </si>
  <si>
    <t>32285002857638</t>
  </si>
  <si>
    <t>893778779</t>
  </si>
  <si>
    <t>HG221 .G59 1978</t>
  </si>
  <si>
    <t>0                      HG 0221000G  59          1978</t>
  </si>
  <si>
    <t>Money madne$$ : the psychology of saving, spending, loving, and hating money / Herb Goldberg and Robert T. Lewis.</t>
  </si>
  <si>
    <t>Goldberg, Herb, 1937-</t>
  </si>
  <si>
    <t>New York : Morrow, 1978.</t>
  </si>
  <si>
    <t>2005-11-03</t>
  </si>
  <si>
    <t>1992-10-09</t>
  </si>
  <si>
    <t>10693989:eng</t>
  </si>
  <si>
    <t>3516402</t>
  </si>
  <si>
    <t>991004452189702656</t>
  </si>
  <si>
    <t>2272455450002656</t>
  </si>
  <si>
    <t>9780688032968</t>
  </si>
  <si>
    <t>32285001342723</t>
  </si>
  <si>
    <t>893888722</t>
  </si>
  <si>
    <t>HG221 .H37 2001</t>
  </si>
  <si>
    <t>0                      HG 0221000H  37          2001</t>
  </si>
  <si>
    <t>Money in an unequal world : Keith Hart and his Memory bank / Keith Hart.</t>
  </si>
  <si>
    <t>Hart, Keith.</t>
  </si>
  <si>
    <t>New York : London : Textere, c2001.</t>
  </si>
  <si>
    <t>2001</t>
  </si>
  <si>
    <t>2003-11-06</t>
  </si>
  <si>
    <t>3064140:eng</t>
  </si>
  <si>
    <t>46932675</t>
  </si>
  <si>
    <t>991004169749702656</t>
  </si>
  <si>
    <t>2265011670002656</t>
  </si>
  <si>
    <t>9781587990755</t>
  </si>
  <si>
    <t>32285004794946</t>
  </si>
  <si>
    <t>893512892</t>
  </si>
  <si>
    <t>HG221 .J53</t>
  </si>
  <si>
    <t>0                      HG 0221000J  53</t>
  </si>
  <si>
    <t>Money and the mechanism of exchange. By W. Stanley Jevons ...</t>
  </si>
  <si>
    <t>Jevons, William Stanley, 1835-1882.</t>
  </si>
  <si>
    <t>New York, London, D. Appleton, 1911.</t>
  </si>
  <si>
    <t>1911</t>
  </si>
  <si>
    <t>The international scientific series. v. 17</t>
  </si>
  <si>
    <t>2008-02-28</t>
  </si>
  <si>
    <t>910412:eng</t>
  </si>
  <si>
    <t>4735806</t>
  </si>
  <si>
    <t>991004708419702656</t>
  </si>
  <si>
    <t>2258332600002656</t>
  </si>
  <si>
    <t>32285002857760</t>
  </si>
  <si>
    <t>893795182</t>
  </si>
  <si>
    <t>HG222.3 .S36 1983</t>
  </si>
  <si>
    <t>0                      HG 0222300S  36          1983</t>
  </si>
  <si>
    <t>Money and the soul of the world / Robert Sardello, Randolph Severson.</t>
  </si>
  <si>
    <t>Sardello, Robert.</t>
  </si>
  <si>
    <t>Dallas, Tex. : Pegasus Foundation, c1983.</t>
  </si>
  <si>
    <t>1983</t>
  </si>
  <si>
    <t>txu</t>
  </si>
  <si>
    <t>2007-03-26</t>
  </si>
  <si>
    <t>3886907:eng</t>
  </si>
  <si>
    <t>11115852</t>
  </si>
  <si>
    <t>991000493669702656</t>
  </si>
  <si>
    <t>2259299280002656</t>
  </si>
  <si>
    <t>9780911005028</t>
  </si>
  <si>
    <t>32285001342863</t>
  </si>
  <si>
    <t>893896924</t>
  </si>
  <si>
    <t>HG229 .B62</t>
  </si>
  <si>
    <t>0                      HG 0229000B  62</t>
  </si>
  <si>
    <t>A study in the theory of monetary equilibrium; a comparative analysis.</t>
  </si>
  <si>
    <t>Botha, D. J.</t>
  </si>
  <si>
    <t>Leiden, H.E. Stenfert Kroese, 1959.</t>
  </si>
  <si>
    <t>1959</t>
  </si>
  <si>
    <t xml:space="preserve">ne </t>
  </si>
  <si>
    <t>1999-04-24</t>
  </si>
  <si>
    <t>1997-06-25</t>
  </si>
  <si>
    <t>195428114:eng</t>
  </si>
  <si>
    <t>1709796</t>
  </si>
  <si>
    <t>991003877269702656</t>
  </si>
  <si>
    <t>2267778900002656</t>
  </si>
  <si>
    <t>32285002858073</t>
  </si>
  <si>
    <t>893800277</t>
  </si>
  <si>
    <t>HG229 .F626 no.2-3</t>
  </si>
  <si>
    <t>0                      HG 0229000F  626                                                     no.2-3</t>
  </si>
  <si>
    <t>Rational expectations and the theory of economic policy / Thomas J. Sargent, Neil Wallace.</t>
  </si>
  <si>
    <t>no.2-3*</t>
  </si>
  <si>
    <t>Sargent, Thomas J.</t>
  </si>
  <si>
    <t>[Minneapolis] : Research Dept., Federal Reserve Bank of Minneapolis, 1975-1976.</t>
  </si>
  <si>
    <t>1975</t>
  </si>
  <si>
    <t>mnu</t>
  </si>
  <si>
    <t>Studies in monetary economics ; 2-3</t>
  </si>
  <si>
    <t>1997-09-11</t>
  </si>
  <si>
    <t>4095484233:eng</t>
  </si>
  <si>
    <t>3857443</t>
  </si>
  <si>
    <t>991004532739702656</t>
  </si>
  <si>
    <t>2262508350002656</t>
  </si>
  <si>
    <t>32285002858131</t>
  </si>
  <si>
    <t>893436389</t>
  </si>
  <si>
    <t>HG229 .H35 1965</t>
  </si>
  <si>
    <t>0                      HG 0229000H  35          1965</t>
  </si>
  <si>
    <t>What you should know about inflation.</t>
  </si>
  <si>
    <t>Hazlitt, Henry, 1894-1993.</t>
  </si>
  <si>
    <t>Princeton, N. J. : Van Nostrand, [1965]</t>
  </si>
  <si>
    <t>1965</t>
  </si>
  <si>
    <t>2d ed.</t>
  </si>
  <si>
    <t>2003-09-23</t>
  </si>
  <si>
    <t>1991-01-10</t>
  </si>
  <si>
    <t>105170582:eng</t>
  </si>
  <si>
    <t>1444148</t>
  </si>
  <si>
    <t>991003759489702656</t>
  </si>
  <si>
    <t>2256177240002656</t>
  </si>
  <si>
    <t>32285000430172</t>
  </si>
  <si>
    <t>893416749</t>
  </si>
  <si>
    <t>HG229 .Y4</t>
  </si>
  <si>
    <t>0                      HG 0229000Y  4</t>
  </si>
  <si>
    <t>Experiences with stopping inflation / Leland B. Yeager and associates.</t>
  </si>
  <si>
    <t>Yeager, Leland B.</t>
  </si>
  <si>
    <t>Washington : American Enterprise Institute for Public Policy Research, c1981.</t>
  </si>
  <si>
    <t>1981</t>
  </si>
  <si>
    <t>AEI studies ; 320</t>
  </si>
  <si>
    <t>2001-02-08</t>
  </si>
  <si>
    <t>1992-10-12</t>
  </si>
  <si>
    <t>507681:eng</t>
  </si>
  <si>
    <t>7910570</t>
  </si>
  <si>
    <t>991005175169702656</t>
  </si>
  <si>
    <t>2267296970002656</t>
  </si>
  <si>
    <t>9780844734385</t>
  </si>
  <si>
    <t>32285001343051</t>
  </si>
  <si>
    <t>893713572</t>
  </si>
  <si>
    <t>HG2461 .K76</t>
  </si>
  <si>
    <t>0                      HG 2461000K  76</t>
  </si>
  <si>
    <t>Documentary history of banking and currency in the United States. Introd.: Paul A. Samuelson. Editor: Herman E. Krooss.</t>
  </si>
  <si>
    <t>Krooss, Herman Edward, 1912-1975 compiler.</t>
  </si>
  <si>
    <t>New York, Chelsea House Publishers [1969]</t>
  </si>
  <si>
    <t>1994-11-28</t>
  </si>
  <si>
    <t>1992-10-14</t>
  </si>
  <si>
    <t>570728571:eng</t>
  </si>
  <si>
    <t>5471</t>
  </si>
  <si>
    <t>991005437689702656</t>
  </si>
  <si>
    <t>2264608180002656</t>
  </si>
  <si>
    <t>32285001343861</t>
  </si>
  <si>
    <t>893701616</t>
  </si>
  <si>
    <t>V.3</t>
  </si>
  <si>
    <t>32285001343887</t>
  </si>
  <si>
    <t>893701615</t>
  </si>
  <si>
    <t>V.2</t>
  </si>
  <si>
    <t>32285001343879</t>
  </si>
  <si>
    <t>893695331</t>
  </si>
  <si>
    <t>HG2463.M6 C6</t>
  </si>
  <si>
    <t>0                      HG 2463000M  6                  C  6</t>
  </si>
  <si>
    <t>The house of Morgan : a social biography of the masters of money / by Lewis Corey.</t>
  </si>
  <si>
    <t>Corey, Lewis.</t>
  </si>
  <si>
    <t>New York : G.H. Watt, 1930.</t>
  </si>
  <si>
    <t>1930</t>
  </si>
  <si>
    <t>2002-04-01</t>
  </si>
  <si>
    <t>1995-03-19</t>
  </si>
  <si>
    <t>474408:eng</t>
  </si>
  <si>
    <t>761186</t>
  </si>
  <si>
    <t>991003236779702656</t>
  </si>
  <si>
    <t>2267843430002656</t>
  </si>
  <si>
    <t>32285002012218</t>
  </si>
  <si>
    <t>893518281</t>
  </si>
  <si>
    <t>HG2463.W45 L36 2004</t>
  </si>
  <si>
    <t>0                      HG 2463000W  45                 L  36          2004</t>
  </si>
  <si>
    <t>Tearing down the walls : how Sandy Weill fought his way to the top of the financial world-- and then nearly lost it all / Monica Langley.</t>
  </si>
  <si>
    <t>Langley, Monica.</t>
  </si>
  <si>
    <t>New York : Free Press, 2004.</t>
  </si>
  <si>
    <t>Wall Street Journal Book ed.</t>
  </si>
  <si>
    <t>2004-11-08</t>
  </si>
  <si>
    <t>2004-09-01</t>
  </si>
  <si>
    <t>741706:eng</t>
  </si>
  <si>
    <t>55022103</t>
  </si>
  <si>
    <t>991004335159702656</t>
  </si>
  <si>
    <t>2262903810002656</t>
  </si>
  <si>
    <t>9780743247269</t>
  </si>
  <si>
    <t>32285004985049</t>
  </si>
  <si>
    <t>893343710</t>
  </si>
  <si>
    <t>HG2466 .W75 2001</t>
  </si>
  <si>
    <t>0                      HG 2466000W  75          2001</t>
  </si>
  <si>
    <t>Origins of commercial banking in America, 1750-1800 / Robert E. Wright.</t>
  </si>
  <si>
    <t>Wright, Robert E. (Robert Eric), 1969-</t>
  </si>
  <si>
    <t>Lanham, MD : Rowman &amp; Littlefield, c2001.</t>
  </si>
  <si>
    <t>mdu</t>
  </si>
  <si>
    <t>2002-05-02</t>
  </si>
  <si>
    <t>2002-04-18</t>
  </si>
  <si>
    <t>35510019:eng</t>
  </si>
  <si>
    <t>46580168</t>
  </si>
  <si>
    <t>991003754189702656</t>
  </si>
  <si>
    <t>2258707680002656</t>
  </si>
  <si>
    <t>9780742520868</t>
  </si>
  <si>
    <t>32285004481767</t>
  </si>
  <si>
    <t>893686914</t>
  </si>
  <si>
    <t>HG2491 .R664 1991</t>
  </si>
  <si>
    <t>0                      HG 2491000R  664         1991</t>
  </si>
  <si>
    <t>Japanese banking and investment in the United States : an assessment of their impact upon U.S. markets and institutions / Peter S. Rose.</t>
  </si>
  <si>
    <t>Rose, Peter S.</t>
  </si>
  <si>
    <t>New York : Quorum Books, 1991.</t>
  </si>
  <si>
    <t>2001-04-05</t>
  </si>
  <si>
    <t>1992-06-12</t>
  </si>
  <si>
    <t>199221295:eng</t>
  </si>
  <si>
    <t>23139139</t>
  </si>
  <si>
    <t>991001840059702656</t>
  </si>
  <si>
    <t>2261654640002656</t>
  </si>
  <si>
    <t>9780899306223</t>
  </si>
  <si>
    <t>32285001128767</t>
  </si>
  <si>
    <t>893497479</t>
  </si>
  <si>
    <t>HG255 .L37 1944b</t>
  </si>
  <si>
    <t>0                      HG 0255000L  37          1944b</t>
  </si>
  <si>
    <t>International currency experience; lessons of the inter-war period.</t>
  </si>
  <si>
    <t>League of Nations.</t>
  </si>
  <si>
    <t>[Geneva] : League of Nations, 1944, 1947 printing.</t>
  </si>
  <si>
    <t>1947</t>
  </si>
  <si>
    <t xml:space="preserve">sz </t>
  </si>
  <si>
    <t>2010-01-21</t>
  </si>
  <si>
    <t>364318777:eng</t>
  </si>
  <si>
    <t>6288714</t>
  </si>
  <si>
    <t>991004957949702656</t>
  </si>
  <si>
    <t>2260943720002656</t>
  </si>
  <si>
    <t>32285001343127</t>
  </si>
  <si>
    <t>893412139</t>
  </si>
  <si>
    <t>HG2565 .H37</t>
  </si>
  <si>
    <t>0                      HG 2565000H  37</t>
  </si>
  <si>
    <t>Credit policies of the federal reserve system, by Charles O. Hardy.</t>
  </si>
  <si>
    <t>Hardy, Charles O. (Charles Oscar), 1884-1948.</t>
  </si>
  <si>
    <t>Washington, D.C., The Brookings Institution, 1932.</t>
  </si>
  <si>
    <t>1932</t>
  </si>
  <si>
    <t>The Institute of Economics of the Brookings Institution. Publication no. 45</t>
  </si>
  <si>
    <t>2008-12-07</t>
  </si>
  <si>
    <t>2250115:eng</t>
  </si>
  <si>
    <t>1354418</t>
  </si>
  <si>
    <t>991003712529702656</t>
  </si>
  <si>
    <t>2271008040002656</t>
  </si>
  <si>
    <t>32285002906435</t>
  </si>
  <si>
    <t>893499607</t>
  </si>
  <si>
    <t>HG2565 .W47 2009</t>
  </si>
  <si>
    <t>0                      HG 2565000W  47          2009</t>
  </si>
  <si>
    <t>In Fed we trust : Ben Bernanke's war on the great panic / David Wessel.</t>
  </si>
  <si>
    <t>Wessel, David.</t>
  </si>
  <si>
    <t>New York : Crown Business, c2009.</t>
  </si>
  <si>
    <t>2010-03-01</t>
  </si>
  <si>
    <t>2016-03-28</t>
  </si>
  <si>
    <t>793208048:eng</t>
  </si>
  <si>
    <t>299706971</t>
  </si>
  <si>
    <t>991001810609702656</t>
  </si>
  <si>
    <t>2256043640002656</t>
  </si>
  <si>
    <t>9780307459688</t>
  </si>
  <si>
    <t>32285005575823</t>
  </si>
  <si>
    <t>893420646</t>
  </si>
  <si>
    <t>HG289 .J33</t>
  </si>
  <si>
    <t>0                      HG 0289000J  33</t>
  </si>
  <si>
    <t>The golden constant : the English and American experience, 1560-1976 / Roy W. Jastram.</t>
  </si>
  <si>
    <t>Jastram, Roy W., 1915-</t>
  </si>
  <si>
    <t>New York : Wiley, c1977.</t>
  </si>
  <si>
    <t>1998-01-06</t>
  </si>
  <si>
    <t>1997-06-26</t>
  </si>
  <si>
    <t>970227619:eng</t>
  </si>
  <si>
    <t>3327429</t>
  </si>
  <si>
    <t>991004407539702656</t>
  </si>
  <si>
    <t>2267443810002656</t>
  </si>
  <si>
    <t>9780471023036</t>
  </si>
  <si>
    <t>32285002858610</t>
  </si>
  <si>
    <t>893901204</t>
  </si>
  <si>
    <t>HG2980.5.A6 D58 1991</t>
  </si>
  <si>
    <t>0                      HG 2980500A  6                  D  58          1991</t>
  </si>
  <si>
    <t>Banking in Europe : the single market / Rob Dixon.</t>
  </si>
  <si>
    <t>Dixon, Rob, 1954-</t>
  </si>
  <si>
    <t>London ; New York : Routledge, 1991.</t>
  </si>
  <si>
    <t>2010-03-18</t>
  </si>
  <si>
    <t>1992-05-26</t>
  </si>
  <si>
    <t>1030538264:eng</t>
  </si>
  <si>
    <t>22181122</t>
  </si>
  <si>
    <t>991001750769702656</t>
  </si>
  <si>
    <t>2257634400002656</t>
  </si>
  <si>
    <t>9780415055734</t>
  </si>
  <si>
    <t>32285001118305</t>
  </si>
  <si>
    <t>893697003</t>
  </si>
  <si>
    <t>HG3000.L84 M3 1968</t>
  </si>
  <si>
    <t>0                      HG 3000000L  84                 M  3           1968</t>
  </si>
  <si>
    <t>The Grasshopper in Lombard Street.</t>
  </si>
  <si>
    <t>Martin, John Biddulph.</t>
  </si>
  <si>
    <t>New York, B. Franklin [1968]</t>
  </si>
  <si>
    <t>1968</t>
  </si>
  <si>
    <t>Burt Franklin research &amp; source works series, 277.</t>
  </si>
  <si>
    <t>2002-01-09</t>
  </si>
  <si>
    <t>5218300935:eng</t>
  </si>
  <si>
    <t>2675</t>
  </si>
  <si>
    <t>991005434909702656</t>
  </si>
  <si>
    <t>2262752730002656</t>
  </si>
  <si>
    <t>32285002906872</t>
  </si>
  <si>
    <t>893446914</t>
  </si>
  <si>
    <t>HG3137 .S76 1999</t>
  </si>
  <si>
    <t>0                      HG 3137000S  76          1999</t>
  </si>
  <si>
    <t>The implications of foreign financial institutions on Poland's emerging entrepreneurial economy / Charles R.B. Stowe.</t>
  </si>
  <si>
    <t>Stowe, Charles R. B.</t>
  </si>
  <si>
    <t>Lewiston, N.Y. : Edwin Mellen Press, c1999.</t>
  </si>
  <si>
    <t>Mellen studies in economics ; v. 1</t>
  </si>
  <si>
    <t>2004-08-16</t>
  </si>
  <si>
    <t>20555596:eng</t>
  </si>
  <si>
    <t>40990165</t>
  </si>
  <si>
    <t>991004348009702656</t>
  </si>
  <si>
    <t>2272329310002656</t>
  </si>
  <si>
    <t>9780773479661</t>
  </si>
  <si>
    <t>32285004981493</t>
  </si>
  <si>
    <t>893894885</t>
  </si>
  <si>
    <t>HG3701 .C575 2000</t>
  </si>
  <si>
    <t>0                      HG 3701000C  575         2000</t>
  </si>
  <si>
    <t>The global debt bomb / James L. Clayton.</t>
  </si>
  <si>
    <t>Clayton, James L.</t>
  </si>
  <si>
    <t>Armonk, N.Y. : M.E. Sharpe, c2000.</t>
  </si>
  <si>
    <t>2000-11-29</t>
  </si>
  <si>
    <t>2000-01-27</t>
  </si>
  <si>
    <t>20387926:eng</t>
  </si>
  <si>
    <t>41039847</t>
  </si>
  <si>
    <t>991003016649702656</t>
  </si>
  <si>
    <t>2260394810002656</t>
  </si>
  <si>
    <t>9780765604750</t>
  </si>
  <si>
    <t>32285003655866</t>
  </si>
  <si>
    <t>893518065</t>
  </si>
  <si>
    <t>HG3729.U4 O4</t>
  </si>
  <si>
    <t>0                      HG 3729000U  4                  O  4</t>
  </si>
  <si>
    <t>Herbert Hoover and the Reconstruction Finance Corporation, 1931-1933 / James Stuart Olson.</t>
  </si>
  <si>
    <t>Olson, James Stuart, 1946-</t>
  </si>
  <si>
    <t>Ames : Iowa State University Press, 1977.</t>
  </si>
  <si>
    <t>iau</t>
  </si>
  <si>
    <t>2001-04-12</t>
  </si>
  <si>
    <t>1997-07-02</t>
  </si>
  <si>
    <t>475076:eng</t>
  </si>
  <si>
    <t>2968805</t>
  </si>
  <si>
    <t>991004302229702656</t>
  </si>
  <si>
    <t>2268891690002656</t>
  </si>
  <si>
    <t>9780813808802</t>
  </si>
  <si>
    <t>32285002907052</t>
  </si>
  <si>
    <t>893500388</t>
  </si>
  <si>
    <t>HG3766 .S75</t>
  </si>
  <si>
    <t>0                      HG 3766000S  75</t>
  </si>
  <si>
    <t>Bankruptcy: problem, process, reform [by] David T. Stanley and Marjorie Girth, with the collaboration of Vern Countrymen [and others]</t>
  </si>
  <si>
    <t>Stanley, David T.</t>
  </si>
  <si>
    <t>Washington, Brookings Institution [1971]</t>
  </si>
  <si>
    <t>1998-05-05</t>
  </si>
  <si>
    <t>1343943:eng</t>
  </si>
  <si>
    <t>227512</t>
  </si>
  <si>
    <t>991001798039702656</t>
  </si>
  <si>
    <t>2255695080002656</t>
  </si>
  <si>
    <t>9780815780984</t>
  </si>
  <si>
    <t>32285002907284</t>
  </si>
  <si>
    <t>893615391</t>
  </si>
  <si>
    <t>HG3811 .C55 1972</t>
  </si>
  <si>
    <t>0                      HG 3811000C  55          1972</t>
  </si>
  <si>
    <t>The world's money : how it works / William M. Clarke and George Pulay.</t>
  </si>
  <si>
    <t>Clarke, William M. (William Malpas)</t>
  </si>
  <si>
    <t>New York : Praeger, 1972.</t>
  </si>
  <si>
    <t>Praeger university series</t>
  </si>
  <si>
    <t>2000-11-19</t>
  </si>
  <si>
    <t>1992-10-15</t>
  </si>
  <si>
    <t>1181406:eng</t>
  </si>
  <si>
    <t>154027</t>
  </si>
  <si>
    <t>991004109779702656</t>
  </si>
  <si>
    <t>2272204240002656</t>
  </si>
  <si>
    <t>32285001344281</t>
  </si>
  <si>
    <t>893722268</t>
  </si>
  <si>
    <t>HG3881 .C29</t>
  </si>
  <si>
    <t>0                      HG 3881000C  29</t>
  </si>
  <si>
    <t>The international monetary system : history, institutions, analyses / Robert J. Carbaugh and Liang-shing Fan.</t>
  </si>
  <si>
    <t>Carbaugh, Robert J., 1946-</t>
  </si>
  <si>
    <t>Lawrence : University Press of Kansas, c1976.</t>
  </si>
  <si>
    <t>1976</t>
  </si>
  <si>
    <t>ksu</t>
  </si>
  <si>
    <t>2000-10-26</t>
  </si>
  <si>
    <t>444131:eng</t>
  </si>
  <si>
    <t>1863639</t>
  </si>
  <si>
    <t>991003918379702656</t>
  </si>
  <si>
    <t>2263152040002656</t>
  </si>
  <si>
    <t>9780700601417</t>
  </si>
  <si>
    <t>32285002907573</t>
  </si>
  <si>
    <t>893330990</t>
  </si>
  <si>
    <t>HG3881 .C5854 2004</t>
  </si>
  <si>
    <t>0                      HG 3881000C  5854        2004</t>
  </si>
  <si>
    <t>The future of money / Benjamin J. Cohen.</t>
  </si>
  <si>
    <t>Cohen, Benjamin J.</t>
  </si>
  <si>
    <t>Princeton, N.J. : Princeton University Press, c2004.</t>
  </si>
  <si>
    <t>2004-03-29</t>
  </si>
  <si>
    <t>3943816709:eng</t>
  </si>
  <si>
    <t>51868034</t>
  </si>
  <si>
    <t>991004249209702656</t>
  </si>
  <si>
    <t>2272152050002656</t>
  </si>
  <si>
    <t>9780691116655</t>
  </si>
  <si>
    <t>32285004897822</t>
  </si>
  <si>
    <t>893229114</t>
  </si>
  <si>
    <t>HG3881 .C6733 1987</t>
  </si>
  <si>
    <t>0                      HG 3881000C  6733        1987</t>
  </si>
  <si>
    <t>The international monetary system : essays in world economics / Richard N. Cooper.</t>
  </si>
  <si>
    <t>Cooper, Richard N.</t>
  </si>
  <si>
    <t>Cambridge, Mass. : MIT Press, c1987.</t>
  </si>
  <si>
    <t>1993-03-22</t>
  </si>
  <si>
    <t>1991-05-29</t>
  </si>
  <si>
    <t>836637375:eng</t>
  </si>
  <si>
    <t>13498488</t>
  </si>
  <si>
    <t>991000837219702656</t>
  </si>
  <si>
    <t>2263779720002656</t>
  </si>
  <si>
    <t>9780262031240</t>
  </si>
  <si>
    <t>32285000590108</t>
  </si>
  <si>
    <t>893878395</t>
  </si>
  <si>
    <t>HG3881 .F735 1987</t>
  </si>
  <si>
    <t>0                      HG 3881000F  735         1987</t>
  </si>
  <si>
    <t>Banking on the world : the politics of American international finance / Jeffry A. Frieden.</t>
  </si>
  <si>
    <t>Frieden, Jeffry A.</t>
  </si>
  <si>
    <t>New York : Harper &amp; Row, c1987.</t>
  </si>
  <si>
    <t>1994-01-12</t>
  </si>
  <si>
    <t>1990-04-23</t>
  </si>
  <si>
    <t>1997-08-26</t>
  </si>
  <si>
    <t>11690316:eng</t>
  </si>
  <si>
    <t>16087988</t>
  </si>
  <si>
    <t>991001636469702656</t>
  </si>
  <si>
    <t>2258159250002656</t>
  </si>
  <si>
    <t>9780060158224</t>
  </si>
  <si>
    <t>32285000131440</t>
  </si>
  <si>
    <t>893529059</t>
  </si>
  <si>
    <t>HG3881 .G36 2000</t>
  </si>
  <si>
    <t>0                      HG 3881000G  36          2000</t>
  </si>
  <si>
    <t>Banking strategies and beyond 2000 / Anthony Gandy.</t>
  </si>
  <si>
    <t>Gandy, Anthony.</t>
  </si>
  <si>
    <t>Chicago, Ill. : Glenlake Pub. Co., Ltd. ; New York : AMACOM , c2000.</t>
  </si>
  <si>
    <t>2000-08-24</t>
  </si>
  <si>
    <t>1013872:eng</t>
  </si>
  <si>
    <t>44770191</t>
  </si>
  <si>
    <t>991003251679702656</t>
  </si>
  <si>
    <t>2264989030002656</t>
  </si>
  <si>
    <t>9780814405789</t>
  </si>
  <si>
    <t>32285003759304</t>
  </si>
  <si>
    <t>893623307</t>
  </si>
  <si>
    <t>HG3881 .I637 1966-1971</t>
  </si>
  <si>
    <t>0                      HG 3881000I  637         1966                                        -1971</t>
  </si>
  <si>
    <t>The International Monetary Fund, 1966-1971 ; the system under stress / by Margaret Garritsen de Vries.</t>
  </si>
  <si>
    <t>Washington : International Monetary Fund, 1976.</t>
  </si>
  <si>
    <t>1993-04-14</t>
  </si>
  <si>
    <t>1994-04-19</t>
  </si>
  <si>
    <t>10792166347:eng</t>
  </si>
  <si>
    <t>11186631</t>
  </si>
  <si>
    <t>991004746329702656</t>
  </si>
  <si>
    <t>2270886740002656</t>
  </si>
  <si>
    <t>32285001344638</t>
  </si>
  <si>
    <t>893600186</t>
  </si>
  <si>
    <t>HG3881 .I6727 1994</t>
  </si>
  <si>
    <t>0                      HG 3881000I  6727        1994</t>
  </si>
  <si>
    <t>International financial centres / edited by Richard Roberts.</t>
  </si>
  <si>
    <t>Aldershot, England ; Brookfield, Vt. : E. Elgar, c1994.</t>
  </si>
  <si>
    <t>An Elgar reference collection</t>
  </si>
  <si>
    <t>2010-09-20</t>
  </si>
  <si>
    <t>1996-05-29</t>
  </si>
  <si>
    <t>3944079873:eng</t>
  </si>
  <si>
    <t>30625407</t>
  </si>
  <si>
    <t>991005419159702656</t>
  </si>
  <si>
    <t>2260783960002656</t>
  </si>
  <si>
    <t>9781852787585</t>
  </si>
  <si>
    <t>32285002178662</t>
  </si>
  <si>
    <t>893521169</t>
  </si>
  <si>
    <t>V.4</t>
  </si>
  <si>
    <t>32285002178670</t>
  </si>
  <si>
    <t>893508237</t>
  </si>
  <si>
    <t>HG3881 .L39</t>
  </si>
  <si>
    <t>0                      HG 3881000L  39</t>
  </si>
  <si>
    <t>Leading issues in international economic policy: essays in honor of George N. Halm. Edited by C. Fred Bergsten [and] William G. Tyler.</t>
  </si>
  <si>
    <t>Lexington, Mass., Lexington Books [1973]</t>
  </si>
  <si>
    <t>1973</t>
  </si>
  <si>
    <t>867150827:eng</t>
  </si>
  <si>
    <t>618336</t>
  </si>
  <si>
    <t>991003061009702656</t>
  </si>
  <si>
    <t>2272191310002656</t>
  </si>
  <si>
    <t>9780669868685</t>
  </si>
  <si>
    <t>32285002907813</t>
  </si>
  <si>
    <t>893686155</t>
  </si>
  <si>
    <t>HG3881 .M24</t>
  </si>
  <si>
    <t>0                      HG 3881000M  24</t>
  </si>
  <si>
    <t>International payments, debts, and gold : collected essays.</t>
  </si>
  <si>
    <t>Machlup, Fritz, 1902-1983.</t>
  </si>
  <si>
    <t>New York : Scribner, [1964]</t>
  </si>
  <si>
    <t>1964</t>
  </si>
  <si>
    <t>1994-03-16</t>
  </si>
  <si>
    <t>1993-11-30</t>
  </si>
  <si>
    <t>111038182:eng</t>
  </si>
  <si>
    <t>594733</t>
  </si>
  <si>
    <t>991003031679702656</t>
  </si>
  <si>
    <t>2269873020002656</t>
  </si>
  <si>
    <t>32285001689834</t>
  </si>
  <si>
    <t>893415957</t>
  </si>
  <si>
    <t>HG3881.5.I58 .I637 1965</t>
  </si>
  <si>
    <t>0                      HG 3881500I  58                 I  637         1965</t>
  </si>
  <si>
    <t>The International Monetary Fund, 1945-1965; twenty years of international monetary cooperation, [edited] by J. Keith Horsefield.</t>
  </si>
  <si>
    <t>Washington, International Monetary Fund, 1969.</t>
  </si>
  <si>
    <t>1994-09-27</t>
  </si>
  <si>
    <t>761195861:eng</t>
  </si>
  <si>
    <t>79044</t>
  </si>
  <si>
    <t>991001687559702656</t>
  </si>
  <si>
    <t>2254937330002656</t>
  </si>
  <si>
    <t>32285001344612</t>
  </si>
  <si>
    <t>893715627</t>
  </si>
  <si>
    <t>HG3891 .B788 2004</t>
  </si>
  <si>
    <t>0                      HG 3891000B  788         2004</t>
  </si>
  <si>
    <t>Crisis prevention and prosperity management for the world economy / Ralph C. Bryant.</t>
  </si>
  <si>
    <t>Bryant, Ralph C., 1938-</t>
  </si>
  <si>
    <t>Washington, D.C. : Brookings Institution Press, c2004.</t>
  </si>
  <si>
    <t>Pragmatic choices for international financial governance ; pt. 1</t>
  </si>
  <si>
    <t>2005-02-08</t>
  </si>
  <si>
    <t>900683:eng</t>
  </si>
  <si>
    <t>56068724</t>
  </si>
  <si>
    <t>991004470199702656</t>
  </si>
  <si>
    <t>2272179120002656</t>
  </si>
  <si>
    <t>9780815708674</t>
  </si>
  <si>
    <t>32285005025431</t>
  </si>
  <si>
    <t>893788730</t>
  </si>
  <si>
    <t>HG3891.5 .M334 2000</t>
  </si>
  <si>
    <t>0                      HG 3891500M  334         2000</t>
  </si>
  <si>
    <t>Managing financial and corporate distress : lessons from Asia / Charles Adams, Robert E. Litan, Michael Pomerleano, editors.</t>
  </si>
  <si>
    <t>Washington, D.C. : Brookings Institution Press, c2000.</t>
  </si>
  <si>
    <t>2000-11-02</t>
  </si>
  <si>
    <t>837029895:eng</t>
  </si>
  <si>
    <t>44502069</t>
  </si>
  <si>
    <t>991003337339702656</t>
  </si>
  <si>
    <t>2260098120002656</t>
  </si>
  <si>
    <t>9780815701033</t>
  </si>
  <si>
    <t>32285004262852</t>
  </si>
  <si>
    <t>893323999</t>
  </si>
  <si>
    <t>HG4011 .S33</t>
  </si>
  <si>
    <t>0                      HG 4011000S  33</t>
  </si>
  <si>
    <t>Introduction to financial management / Lawrence D. Schall, Charles W. Haley.</t>
  </si>
  <si>
    <t>Schall, Lawrence D.</t>
  </si>
  <si>
    <t>New York : McGraw-Hill, c1977.</t>
  </si>
  <si>
    <t>McGraw-Hill series in finance</t>
  </si>
  <si>
    <t>1992-07-13</t>
  </si>
  <si>
    <t>1992-01-27</t>
  </si>
  <si>
    <t>4907374:eng</t>
  </si>
  <si>
    <t>2439459</t>
  </si>
  <si>
    <t>991004124289702656</t>
  </si>
  <si>
    <t>2264222630002656</t>
  </si>
  <si>
    <t>9780070550971</t>
  </si>
  <si>
    <t>32285000898543</t>
  </si>
  <si>
    <t>893253271</t>
  </si>
  <si>
    <t>HG4026 .O337 2004</t>
  </si>
  <si>
    <t>0                      HG 4026000O  337         2004</t>
  </si>
  <si>
    <t>The real cost of capital : a business field guide to better financial decisions / Tim Ogier, John Rugman, and Lucinda Spicer.</t>
  </si>
  <si>
    <t>Ogier, Tim.</t>
  </si>
  <si>
    <t>Harlow : Financial Times/Prentice Hall, 2004.</t>
  </si>
  <si>
    <t>Corporate finance</t>
  </si>
  <si>
    <t>2005-05-25</t>
  </si>
  <si>
    <t>13024092:eng</t>
  </si>
  <si>
    <t>54425224</t>
  </si>
  <si>
    <t>991004533799702656</t>
  </si>
  <si>
    <t>2267156520002656</t>
  </si>
  <si>
    <t>9780273688747</t>
  </si>
  <si>
    <t>32285005090807</t>
  </si>
  <si>
    <t>893706544</t>
  </si>
  <si>
    <t>HG4026 .W45 1992</t>
  </si>
  <si>
    <t>0                      HG 4026000W  45          1992</t>
  </si>
  <si>
    <t>Managerial finance / J. Fred Weston, Thomas E. Copeland.</t>
  </si>
  <si>
    <t>Weston, J. Fred (John Fred), 1916-2009.</t>
  </si>
  <si>
    <t>Fort Worth : Dryden Press, c1992.</t>
  </si>
  <si>
    <t>1992</t>
  </si>
  <si>
    <t>9th ed.</t>
  </si>
  <si>
    <t>2010-05-12</t>
  </si>
  <si>
    <t>1135381:eng</t>
  </si>
  <si>
    <t>23651561</t>
  </si>
  <si>
    <t>991005377389702656</t>
  </si>
  <si>
    <t>2265549260002656</t>
  </si>
  <si>
    <t>9780030558832</t>
  </si>
  <si>
    <t>32285005581839</t>
  </si>
  <si>
    <t>893871093</t>
  </si>
  <si>
    <t>HG4027.7 .B87 1988</t>
  </si>
  <si>
    <t>0                      HG 4027700B  87          1988</t>
  </si>
  <si>
    <t>Business financing.</t>
  </si>
  <si>
    <t>San Francisco : Bank of America, c1988.</t>
  </si>
  <si>
    <t>Small business reporter</t>
  </si>
  <si>
    <t>1992-10-26</t>
  </si>
  <si>
    <t>1992-06-30</t>
  </si>
  <si>
    <t>1151428626:eng</t>
  </si>
  <si>
    <t>18822798</t>
  </si>
  <si>
    <t>991001401319702656</t>
  </si>
  <si>
    <t>2255792240002656</t>
  </si>
  <si>
    <t>32285001229342</t>
  </si>
  <si>
    <t>893439113</t>
  </si>
  <si>
    <t>HG4028.C4 W52</t>
  </si>
  <si>
    <t>0                      HG 4028000C  4                  W  52</t>
  </si>
  <si>
    <t>Capital budgeting techniques / F. M. Wilkes.</t>
  </si>
  <si>
    <t>Wilkes, F. M.</t>
  </si>
  <si>
    <t>London ; New York : Wiley, c1977.</t>
  </si>
  <si>
    <t>1998-08-05</t>
  </si>
  <si>
    <t>1997-07-09</t>
  </si>
  <si>
    <t>4607197:eng</t>
  </si>
  <si>
    <t>2284151</t>
  </si>
  <si>
    <t>991004066379702656</t>
  </si>
  <si>
    <t>2266480010002656</t>
  </si>
  <si>
    <t>9780471994169</t>
  </si>
  <si>
    <t>32285002909306</t>
  </si>
  <si>
    <t>893869234</t>
  </si>
  <si>
    <t>HG4028.M4 B58 1993</t>
  </si>
  <si>
    <t>0                      HG 4028000M  4                  B  58          1993</t>
  </si>
  <si>
    <t>The deal decade handbook / Margaret M. Blair and Girish Uppal.</t>
  </si>
  <si>
    <t>Blair, Margaret M., 1950-</t>
  </si>
  <si>
    <t>Washington, D.C. : Brookings Institution, c1993.</t>
  </si>
  <si>
    <t>1993</t>
  </si>
  <si>
    <t>2000-10-09</t>
  </si>
  <si>
    <t>1993-09-03</t>
  </si>
  <si>
    <t>3769107357:eng</t>
  </si>
  <si>
    <t>27383018</t>
  </si>
  <si>
    <t>991002135799702656</t>
  </si>
  <si>
    <t>2263454500002656</t>
  </si>
  <si>
    <t>9780815709435</t>
  </si>
  <si>
    <t>32285001757151</t>
  </si>
  <si>
    <t>893691245</t>
  </si>
  <si>
    <t>HG4028.M4 N4</t>
  </si>
  <si>
    <t>0                      HG 4028000M  4                  N  4</t>
  </si>
  <si>
    <t>Merger movements in American industry, 1895-1956.</t>
  </si>
  <si>
    <t>Nelson, Ralph L. (Ralph Lowell), 1926-</t>
  </si>
  <si>
    <t>Princeton, Princeton University Press, 1959.</t>
  </si>
  <si>
    <t>National Bureau of Economic Research. General series, no. 66</t>
  </si>
  <si>
    <t>2003-09-22</t>
  </si>
  <si>
    <t>1997-07-03</t>
  </si>
  <si>
    <t>1705170:eng</t>
  </si>
  <si>
    <t>576220</t>
  </si>
  <si>
    <t>991003008709702656</t>
  </si>
  <si>
    <t>2257372810002656</t>
  </si>
  <si>
    <t>32285002909447</t>
  </si>
  <si>
    <t>893434558</t>
  </si>
  <si>
    <t>HG4521 .F685</t>
  </si>
  <si>
    <t>0                      HG 4521000F  685</t>
  </si>
  <si>
    <t>Investments, analysis and management.</t>
  </si>
  <si>
    <t>Francis, Jack Clark.</t>
  </si>
  <si>
    <t>New York : McGraw-Hill, [1972]</t>
  </si>
  <si>
    <t>2002-04-06</t>
  </si>
  <si>
    <t>1993-04-27</t>
  </si>
  <si>
    <t>368582854:eng</t>
  </si>
  <si>
    <t>220246</t>
  </si>
  <si>
    <t>991001296929702656</t>
  </si>
  <si>
    <t>2261535650002656</t>
  </si>
  <si>
    <t>9780070217850</t>
  </si>
  <si>
    <t>32285001627743</t>
  </si>
  <si>
    <t>893596393</t>
  </si>
  <si>
    <t>HG4521 .H38 1966</t>
  </si>
  <si>
    <t>0                      HG 4521000H  38          1966</t>
  </si>
  <si>
    <t>Investments; analysis and management [by] Douglas A. Hayes.</t>
  </si>
  <si>
    <t>Hayes, Douglas A., 1918-2011.</t>
  </si>
  <si>
    <t>New York, Macmillan [1966]</t>
  </si>
  <si>
    <t>1966</t>
  </si>
  <si>
    <t>2009-09-25</t>
  </si>
  <si>
    <t>1997-07-23</t>
  </si>
  <si>
    <t>148942743:eng</t>
  </si>
  <si>
    <t>172016</t>
  </si>
  <si>
    <t>991001000579702656</t>
  </si>
  <si>
    <t>2270436590002656</t>
  </si>
  <si>
    <t>32285002958063</t>
  </si>
  <si>
    <t>893602240</t>
  </si>
  <si>
    <t>HG4528 .R64 2003</t>
  </si>
  <si>
    <t>0                      HG 4528000R  64          2003</t>
  </si>
  <si>
    <t>Investment biker : around the world with Jim Rogers.</t>
  </si>
  <si>
    <t>Rogers, Jim, 1942-</t>
  </si>
  <si>
    <t>New York : Random House Trade Paperbacks, 2003.</t>
  </si>
  <si>
    <t>2003</t>
  </si>
  <si>
    <t>2003 Random House Trade pbk. ed.</t>
  </si>
  <si>
    <t>2010-05-24</t>
  </si>
  <si>
    <t>167108049:eng</t>
  </si>
  <si>
    <t>52465419</t>
  </si>
  <si>
    <t>991005397979702656</t>
  </si>
  <si>
    <t>2255349540002656</t>
  </si>
  <si>
    <t>9780812968712</t>
  </si>
  <si>
    <t>32285005585285</t>
  </si>
  <si>
    <t>893689141</t>
  </si>
  <si>
    <t>HG4538 .E42 1996</t>
  </si>
  <si>
    <t>0                      HG 4538000E  42          1996</t>
  </si>
  <si>
    <t>The effect of Japanese investment on the world economy : a six-country study, 1970-1991 / edited by Leon Hollerman and Ramon H. Myers.</t>
  </si>
  <si>
    <t>Stanford, Calif. : Hoover Institution Press, Stanford University, c1996.</t>
  </si>
  <si>
    <t>1996</t>
  </si>
  <si>
    <t>Hoover Press publication ; no. 432</t>
  </si>
  <si>
    <t>2005-04-17</t>
  </si>
  <si>
    <t>1997-06-10</t>
  </si>
  <si>
    <t>368027445:eng</t>
  </si>
  <si>
    <t>33359691</t>
  </si>
  <si>
    <t>991002567069702656</t>
  </si>
  <si>
    <t>2263199720002656</t>
  </si>
  <si>
    <t>9780817994013</t>
  </si>
  <si>
    <t>32285002751435</t>
  </si>
  <si>
    <t>893792617</t>
  </si>
  <si>
    <t>HG4538 .M38 1985</t>
  </si>
  <si>
    <t>0                      HG 4538000M  38          1985</t>
  </si>
  <si>
    <t>OPEC's investments and the international financial system / Richard P. Mattione.</t>
  </si>
  <si>
    <t>Mattione, Richard P.</t>
  </si>
  <si>
    <t>Washington, D.C. : Brookings Institution, c1985.</t>
  </si>
  <si>
    <t>1985</t>
  </si>
  <si>
    <t>1994-03-11</t>
  </si>
  <si>
    <t>1992-07-08</t>
  </si>
  <si>
    <t>3899698:eng</t>
  </si>
  <si>
    <t>11470223</t>
  </si>
  <si>
    <t>991000540029702656</t>
  </si>
  <si>
    <t>2269683110002656</t>
  </si>
  <si>
    <t>9780815755098</t>
  </si>
  <si>
    <t>32285001190163</t>
  </si>
  <si>
    <t>893521773</t>
  </si>
  <si>
    <t>HG4538 .S52 2003</t>
  </si>
  <si>
    <t>0                      HG 4538000S  52          2003</t>
  </si>
  <si>
    <t>International investments / Bruno Solnik, Dennis McLeavey,</t>
  </si>
  <si>
    <t>Solnik, Bruno H., 1946-</t>
  </si>
  <si>
    <t>Boston, Mass. : Pearson Education, 2003.</t>
  </si>
  <si>
    <t>The Addison-Wesley series in finance</t>
  </si>
  <si>
    <t>2006-08-18</t>
  </si>
  <si>
    <t>2006-04-13</t>
  </si>
  <si>
    <t>665749:eng</t>
  </si>
  <si>
    <t>51861955</t>
  </si>
  <si>
    <t>991004791199702656</t>
  </si>
  <si>
    <t>2266887190002656</t>
  </si>
  <si>
    <t>9780201785685</t>
  </si>
  <si>
    <t>32285005181630</t>
  </si>
  <si>
    <t>893782661</t>
  </si>
  <si>
    <t>HG4572 .C6 1973</t>
  </si>
  <si>
    <t>0                      HG 4572000C  6           1973</t>
  </si>
  <si>
    <t>Fifty years in Wall Street.</t>
  </si>
  <si>
    <t>Clews, Henry, 1836-1923.</t>
  </si>
  <si>
    <t>New York, Arno Press, 1973.</t>
  </si>
  <si>
    <t>Big business: economic power in a free society</t>
  </si>
  <si>
    <t>2003-03-11</t>
  </si>
  <si>
    <t>1997-07-22</t>
  </si>
  <si>
    <t>1731374:eng</t>
  </si>
  <si>
    <t>618355</t>
  </si>
  <si>
    <t>991003061229702656</t>
  </si>
  <si>
    <t>2272207250002656</t>
  </si>
  <si>
    <t>9780405050794</t>
  </si>
  <si>
    <t>32285002915857</t>
  </si>
  <si>
    <t>893428398</t>
  </si>
  <si>
    <t>HG4651 .C65 1975</t>
  </si>
  <si>
    <t>0                      HG 4651000C  65          1975</t>
  </si>
  <si>
    <t>The work of the bond house / Lawrence Chamberlain.</t>
  </si>
  <si>
    <t>Chamberlain, Lawrence, 1878-1961.</t>
  </si>
  <si>
    <t>New York : Arno Press, 1975 [c1912]</t>
  </si>
  <si>
    <t>Wall Street and the security markets</t>
  </si>
  <si>
    <t>2006-08-23</t>
  </si>
  <si>
    <t>2132086:eng</t>
  </si>
  <si>
    <t>1230529</t>
  </si>
  <si>
    <t>991003635899702656</t>
  </si>
  <si>
    <t>2258215080002656</t>
  </si>
  <si>
    <t>9780405069529</t>
  </si>
  <si>
    <t>32285002916103</t>
  </si>
  <si>
    <t>893234388</t>
  </si>
  <si>
    <t>HG4661 .H36 2002</t>
  </si>
  <si>
    <t>0                      HG 4661000H  36          2002</t>
  </si>
  <si>
    <t>The inefficient stock market : what pays off and why / Robert A. Haugen.</t>
  </si>
  <si>
    <t>Haugen, Robert A.</t>
  </si>
  <si>
    <t>Upper Saddle River, N.J. : Prentice Hall, c2002.</t>
  </si>
  <si>
    <t>2010-05-25</t>
  </si>
  <si>
    <t>836988232:eng</t>
  </si>
  <si>
    <t>46314922</t>
  </si>
  <si>
    <t>991005398089702656</t>
  </si>
  <si>
    <t>2258696760002656</t>
  </si>
  <si>
    <t>9780130323668</t>
  </si>
  <si>
    <t>32285005585913</t>
  </si>
  <si>
    <t>893412842</t>
  </si>
  <si>
    <t>HG4916 .S72</t>
  </si>
  <si>
    <t>0                      HG 4916000S  72</t>
  </si>
  <si>
    <t>The new dictionary of stock market charts / chief editor: C. M. Flumiani.</t>
  </si>
  <si>
    <t>Stock Market Chartists Club of America.</t>
  </si>
  <si>
    <t>nmu</t>
  </si>
  <si>
    <t>2004-08-04</t>
  </si>
  <si>
    <t>1993-06-16</t>
  </si>
  <si>
    <t>1259838:eng</t>
  </si>
  <si>
    <t>159116</t>
  </si>
  <si>
    <t>991000909529702656</t>
  </si>
  <si>
    <t>2259073860002656</t>
  </si>
  <si>
    <t>9780879370015</t>
  </si>
  <si>
    <t>32285001696714</t>
  </si>
  <si>
    <t>893407648</t>
  </si>
  <si>
    <t>HG4936 .R6</t>
  </si>
  <si>
    <t>0                      HG 4936000R  6</t>
  </si>
  <si>
    <t>The behavior of interest rates; an application of the efficient market model to U.S. Treasury bills. Foreword by Paul Samuelson.</t>
  </si>
  <si>
    <t>Roll, Richard.</t>
  </si>
  <si>
    <t>New York, Basic Books [1970]</t>
  </si>
  <si>
    <t>1970</t>
  </si>
  <si>
    <t>Irving Fisher award series</t>
  </si>
  <si>
    <t>2007-11-13</t>
  </si>
  <si>
    <t>155786866:eng</t>
  </si>
  <si>
    <t>103367</t>
  </si>
  <si>
    <t>991000623939702656</t>
  </si>
  <si>
    <t>2260098150002656</t>
  </si>
  <si>
    <t>9780465005970</t>
  </si>
  <si>
    <t>32285002916731</t>
  </si>
  <si>
    <t>893708541</t>
  </si>
  <si>
    <t>HG5129.N5 G44 2001</t>
  </si>
  <si>
    <t>0                      HG 5129000N  5                  G  44          2001</t>
  </si>
  <si>
    <t>The last partnerships : inside the great Wall Street money dynasties / Charles R. Geisst.</t>
  </si>
  <si>
    <t>Geisst, Charles R.</t>
  </si>
  <si>
    <t>New York : McGraw-Hill, c2001.</t>
  </si>
  <si>
    <t>2001-06-19</t>
  </si>
  <si>
    <t>2001-06-18</t>
  </si>
  <si>
    <t>1806248827:eng</t>
  </si>
  <si>
    <t>46343343</t>
  </si>
  <si>
    <t>991003537729702656</t>
  </si>
  <si>
    <t>2271328410002656</t>
  </si>
  <si>
    <t>9780071369992</t>
  </si>
  <si>
    <t>32285004328018</t>
  </si>
  <si>
    <t>893524907</t>
  </si>
  <si>
    <t>HG538 .B148</t>
  </si>
  <si>
    <t>0                      HG 0538000B  148</t>
  </si>
  <si>
    <t>Inflation; a study in economics, ethics, and politics.</t>
  </si>
  <si>
    <t>Bach, George Leland, 1915-1994.</t>
  </si>
  <si>
    <t>Providence, Brown University Press, 1958.</t>
  </si>
  <si>
    <t>1958</t>
  </si>
  <si>
    <t>riu</t>
  </si>
  <si>
    <t>The Colver lectures in Brown University, 1957</t>
  </si>
  <si>
    <t>2000-09-01</t>
  </si>
  <si>
    <t>428943284:eng</t>
  </si>
  <si>
    <t>1675471</t>
  </si>
  <si>
    <t>991003864699702656</t>
  </si>
  <si>
    <t>2265364350002656</t>
  </si>
  <si>
    <t>32285002858966</t>
  </si>
  <si>
    <t>893330912</t>
  </si>
  <si>
    <t>HG538 .M38</t>
  </si>
  <si>
    <t>0                      HG 0538000M  38</t>
  </si>
  <si>
    <t>Monetary policy in the United States.</t>
  </si>
  <si>
    <t>Mayer, Thomas, 1927-2015.</t>
  </si>
  <si>
    <t>New York : Random House, [1968]</t>
  </si>
  <si>
    <t>2007-03-21</t>
  </si>
  <si>
    <t>1995-05-06</t>
  </si>
  <si>
    <t>145136258:eng</t>
  </si>
  <si>
    <t>246235</t>
  </si>
  <si>
    <t>991001925299702656</t>
  </si>
  <si>
    <t>2257399730002656</t>
  </si>
  <si>
    <t>32285002032463</t>
  </si>
  <si>
    <t>893885645</t>
  </si>
  <si>
    <t>HG538 .M855</t>
  </si>
  <si>
    <t>0                      HG 0538000M  855</t>
  </si>
  <si>
    <t>Inflation can be stopped; what is inflation, its history in the U.S., its various causes , incorrect beliefs about it, how it can be stopped, and why it should be stopped, by Robert S. Morrison.</t>
  </si>
  <si>
    <t>Morrison, Robert S., 1909-2002.</t>
  </si>
  <si>
    <t>Cleveland, Ohio, Western Reserve Press [1973]</t>
  </si>
  <si>
    <t>ohu</t>
  </si>
  <si>
    <t>508924736:eng</t>
  </si>
  <si>
    <t>841482</t>
  </si>
  <si>
    <t>991003316859702656</t>
  </si>
  <si>
    <t>2265082110002656</t>
  </si>
  <si>
    <t>32285002859287</t>
  </si>
  <si>
    <t>893348550</t>
  </si>
  <si>
    <t>HG538 .M86</t>
  </si>
  <si>
    <t>0                      HG 0538000M  86</t>
  </si>
  <si>
    <t>Can inflation be controlled?</t>
  </si>
  <si>
    <t>Moulton, Harold Glenn, 1883-1965.</t>
  </si>
  <si>
    <t>Washington, Anderson Kramer Associates, 1958.</t>
  </si>
  <si>
    <t>1418883:eng</t>
  </si>
  <si>
    <t>327314</t>
  </si>
  <si>
    <t>991002374669702656</t>
  </si>
  <si>
    <t>2272784690002656</t>
  </si>
  <si>
    <t>32285002859295</t>
  </si>
  <si>
    <t>893892475</t>
  </si>
  <si>
    <t>HG5681.W3 B72 2003</t>
  </si>
  <si>
    <t>0                      HG 5681000W  3                  B  72          2003</t>
  </si>
  <si>
    <t>Essentials of payroll : management and accounting / Steven M. Bragg.</t>
  </si>
  <si>
    <t>Bragg, Steven M.</t>
  </si>
  <si>
    <t>Hoboken, N.J. : J. Wiley &amp; Sons, 2003.</t>
  </si>
  <si>
    <t>Essentials series</t>
  </si>
  <si>
    <t>2003-04-02</t>
  </si>
  <si>
    <t>800413803:eng</t>
  </si>
  <si>
    <t>50919963</t>
  </si>
  <si>
    <t>991003997919702656</t>
  </si>
  <si>
    <t>2266755170002656</t>
  </si>
  <si>
    <t>9780471264965</t>
  </si>
  <si>
    <t>32285004689047</t>
  </si>
  <si>
    <t>893423258</t>
  </si>
  <si>
    <t>HG591 .G64 2003</t>
  </si>
  <si>
    <t>0                      HG 0591000G  64          2003</t>
  </si>
  <si>
    <t>Greenback : the almighty dollar and the invention of America / Jason Goodwin.</t>
  </si>
  <si>
    <t>Goodwin, Jason, 1964-</t>
  </si>
  <si>
    <t>New York : Henry Holt, 2003.</t>
  </si>
  <si>
    <t>2003-03-26</t>
  </si>
  <si>
    <t>676384:eng</t>
  </si>
  <si>
    <t>50034876</t>
  </si>
  <si>
    <t>991004004329702656</t>
  </si>
  <si>
    <t>2264064770002656</t>
  </si>
  <si>
    <t>9780805064070</t>
  </si>
  <si>
    <t>32285004687454</t>
  </si>
  <si>
    <t>893331095</t>
  </si>
  <si>
    <t>HG604 .U5</t>
  </si>
  <si>
    <t>0                      HG 0604000U  5</t>
  </si>
  <si>
    <t>The greenback era : a social and political history of American finance, 1865-1879.</t>
  </si>
  <si>
    <t>Unger, Irwin.</t>
  </si>
  <si>
    <t>Princeton, N.J., Princeton University Press, 1964.</t>
  </si>
  <si>
    <t>2008-12-05</t>
  </si>
  <si>
    <t>1996-11-13</t>
  </si>
  <si>
    <t>1655008:eng</t>
  </si>
  <si>
    <t>710949</t>
  </si>
  <si>
    <t>991003176959702656</t>
  </si>
  <si>
    <t>2262451580002656</t>
  </si>
  <si>
    <t>32285002390911</t>
  </si>
  <si>
    <t>893330041</t>
  </si>
  <si>
    <t>HG6041 .D35 1971</t>
  </si>
  <si>
    <t>0                      HG 6041000D  35          1971</t>
  </si>
  <si>
    <t>The new How I made $2,000,000 in the stock market.</t>
  </si>
  <si>
    <t>Darvas, Nicholas.</t>
  </si>
  <si>
    <t>New York, L. Stuart [1971, c1960]</t>
  </si>
  <si>
    <t>2001-01-11</t>
  </si>
  <si>
    <t>3943894317:eng</t>
  </si>
  <si>
    <t>346422</t>
  </si>
  <si>
    <t>991002429719702656</t>
  </si>
  <si>
    <t>2272017040002656</t>
  </si>
  <si>
    <t>32285002917168</t>
  </si>
  <si>
    <t>893798581</t>
  </si>
  <si>
    <t>HG6046 .R4</t>
  </si>
  <si>
    <t>0                      HG 6046000R  4</t>
  </si>
  <si>
    <t>Readings in futures markets / editor, Anne E. Peck.</t>
  </si>
  <si>
    <t>V.5</t>
  </si>
  <si>
    <t>[Chicago] : Chicago Board of Trade, c1977-c1985.</t>
  </si>
  <si>
    <t>1900</t>
  </si>
  <si>
    <t>1996-09-15</t>
  </si>
  <si>
    <t>1992-07-10</t>
  </si>
  <si>
    <t>9093497529:eng</t>
  </si>
  <si>
    <t>3630919</t>
  </si>
  <si>
    <t>991004483099702656</t>
  </si>
  <si>
    <t>2258599020002656</t>
  </si>
  <si>
    <t>32285001190866</t>
  </si>
  <si>
    <t>893411603</t>
  </si>
  <si>
    <t>32285001190833</t>
  </si>
  <si>
    <t>893442664</t>
  </si>
  <si>
    <t>32285001190841</t>
  </si>
  <si>
    <t>893423865</t>
  </si>
  <si>
    <t>32285001190858</t>
  </si>
  <si>
    <t>893446242</t>
  </si>
  <si>
    <t>HG665 .M49 1996</t>
  </si>
  <si>
    <t>0                      HG 0665000M  49          1996</t>
  </si>
  <si>
    <t>The Mexican peso crisis : international perspectives / edited by Riordan Roett.</t>
  </si>
  <si>
    <t>Boulder, Colo. : Lynne Rienner Publishers, 1996.</t>
  </si>
  <si>
    <t>cou</t>
  </si>
  <si>
    <t>1997-11-09</t>
  </si>
  <si>
    <t>1997-04-22</t>
  </si>
  <si>
    <t>836959525:eng</t>
  </si>
  <si>
    <t>34704890</t>
  </si>
  <si>
    <t>991002654019702656</t>
  </si>
  <si>
    <t>2264912650002656</t>
  </si>
  <si>
    <t>9781555876678</t>
  </si>
  <si>
    <t>32285002499431</t>
  </si>
  <si>
    <t>893239337</t>
  </si>
  <si>
    <t>HG8051 .A82 1969</t>
  </si>
  <si>
    <t>0                      HG 8051000A  82          1969</t>
  </si>
  <si>
    <t>Risk and insurance [by] James L. Athearn.</t>
  </si>
  <si>
    <t>Athearn, James L.</t>
  </si>
  <si>
    <t>New York, Appleton-Century-Crofts [1969]</t>
  </si>
  <si>
    <t>Risk and insurance series</t>
  </si>
  <si>
    <t>1992-12-04</t>
  </si>
  <si>
    <t>1992-04-13</t>
  </si>
  <si>
    <t>1145342:eng</t>
  </si>
  <si>
    <t>23179</t>
  </si>
  <si>
    <t>991000053969702656</t>
  </si>
  <si>
    <t>2265480740002656</t>
  </si>
  <si>
    <t>9780390039101</t>
  </si>
  <si>
    <t>32285001052892</t>
  </si>
  <si>
    <t>893890355</t>
  </si>
  <si>
    <t>HG817 .W5 1969</t>
  </si>
  <si>
    <t>0                      HG 0817000W  5           1969</t>
  </si>
  <si>
    <t>Argentine international trade under inconvertible paper money, 1880-1900, by John H. Williams.</t>
  </si>
  <si>
    <t>Williams, John H. (John Henry), 1887-1980.</t>
  </si>
  <si>
    <t>New York, Greenwood Press [1969]</t>
  </si>
  <si>
    <t>2004-02-04</t>
  </si>
  <si>
    <t>195615235:eng</t>
  </si>
  <si>
    <t>12142</t>
  </si>
  <si>
    <t>991000003519702656</t>
  </si>
  <si>
    <t>2264774900002656</t>
  </si>
  <si>
    <t>9780837110509</t>
  </si>
  <si>
    <t>32285002859618</t>
  </si>
  <si>
    <t>893613788</t>
  </si>
  <si>
    <t>HG8535 .K55</t>
  </si>
  <si>
    <t>0                      HG 8535000K  55</t>
  </si>
  <si>
    <t>Insurance, government, and social policy; studies in insurance regulation. Edited by Spencer L. Kimball and Herbert S. Denenberg.</t>
  </si>
  <si>
    <t>Kimball, Spencer L.</t>
  </si>
  <si>
    <t>Homewood, Ill., Published for the S. S. Huebner Foundation for Insurance Education, University of Pennsylvania, by R. D. Irwin [1969]</t>
  </si>
  <si>
    <t>pau</t>
  </si>
  <si>
    <t>S. S. Huebner Foundation for Insurance Education. Lectures</t>
  </si>
  <si>
    <t>2008-11-25</t>
  </si>
  <si>
    <t>132983900:eng</t>
  </si>
  <si>
    <t>32464</t>
  </si>
  <si>
    <t>991001635179702656</t>
  </si>
  <si>
    <t>2258369900002656</t>
  </si>
  <si>
    <t>32285002917655</t>
  </si>
  <si>
    <t>893891690</t>
  </si>
  <si>
    <t>HG8850 .M28</t>
  </si>
  <si>
    <t>0                      HG 8850000M  28</t>
  </si>
  <si>
    <t>Investment of life insurance funds.</t>
  </si>
  <si>
    <t>McCahan, David, 1897-, editor.</t>
  </si>
  <si>
    <t>Philadelphia : University of Pennsylvania Press, 1953.</t>
  </si>
  <si>
    <t>The Huebner (S. S.) Foundation for Insurance Education. Lectures</t>
  </si>
  <si>
    <t>1994-03-21</t>
  </si>
  <si>
    <t>1993-11-09</t>
  </si>
  <si>
    <t>1416443:eng</t>
  </si>
  <si>
    <t>362306</t>
  </si>
  <si>
    <t>991001631699702656</t>
  </si>
  <si>
    <t>2262459490002656</t>
  </si>
  <si>
    <t>32285001797728</t>
  </si>
  <si>
    <t>893684441</t>
  </si>
  <si>
    <t>HG8963.P82 M3</t>
  </si>
  <si>
    <t>0                      HG 8963000P  82                 M  3</t>
  </si>
  <si>
    <t>The Prudential ; a story of human security / by Earl Chapin May and Will Oursler. Illus. by E. Stanley Turnbull.</t>
  </si>
  <si>
    <t>May, Earl Chapin, 1873-1960.</t>
  </si>
  <si>
    <t>Garden City, N.Y. : Doubleday, 1950.</t>
  </si>
  <si>
    <t>1950</t>
  </si>
  <si>
    <t>2001-09-24</t>
  </si>
  <si>
    <t>309265077:eng</t>
  </si>
  <si>
    <t>4601254</t>
  </si>
  <si>
    <t>991004689779702656</t>
  </si>
  <si>
    <t>2270318320002656</t>
  </si>
  <si>
    <t>32285002918356</t>
  </si>
  <si>
    <t>893526397</t>
  </si>
  <si>
    <t>HG930.5 .C67 1972</t>
  </si>
  <si>
    <t>0                      HG 0930500C  67          1972</t>
  </si>
  <si>
    <t>European monetary unification and its meaning for the United States. Lawrence B. Krause and Walter S. Salant, editors. Papers by Arthur I. Bloomfield [and others]</t>
  </si>
  <si>
    <t>Conference on the Implications of European Monetary Integration for the United States (1972 : Brookings Institution)</t>
  </si>
  <si>
    <t>Washington, Brookings Institution [1974, c1973]</t>
  </si>
  <si>
    <t>1974</t>
  </si>
  <si>
    <t>2010-03-30</t>
  </si>
  <si>
    <t>510107877:eng</t>
  </si>
  <si>
    <t>701573</t>
  </si>
  <si>
    <t>991001670359702656</t>
  </si>
  <si>
    <t>2254918440002656</t>
  </si>
  <si>
    <t>9780815750321</t>
  </si>
  <si>
    <t>32285002859659</t>
  </si>
  <si>
    <t>893414388</t>
  </si>
  <si>
    <t>HG930.5.Z8 H63 1974</t>
  </si>
  <si>
    <t>0                      HG 0930500Z  8                  H  63          1974</t>
  </si>
  <si>
    <t>National monetary policies and international monetary cooperation [by] Donald R. Hodgman.</t>
  </si>
  <si>
    <t>Hodgman, Donald R.</t>
  </si>
  <si>
    <t>Boston, Little, Brown [1974]</t>
  </si>
  <si>
    <t>Little, Brown series in economics</t>
  </si>
  <si>
    <t>2000-10-03</t>
  </si>
  <si>
    <t>1782214:eng</t>
  </si>
  <si>
    <t>799556</t>
  </si>
  <si>
    <t>991003274939702656</t>
  </si>
  <si>
    <t>2266895200002656</t>
  </si>
  <si>
    <t>32285002859667</t>
  </si>
  <si>
    <t>893887307</t>
  </si>
  <si>
    <t>HG999 .P37</t>
  </si>
  <si>
    <t>0                      HG 0999000P  37</t>
  </si>
  <si>
    <t>Dying of money; lessons of the great German and American inflations [by] Jens O. Parsson.</t>
  </si>
  <si>
    <t>Parsson, Jens O.</t>
  </si>
  <si>
    <t>Boston, Wellspring Press, 1974.</t>
  </si>
  <si>
    <t>2005-04-20</t>
  </si>
  <si>
    <t>376020796:eng</t>
  </si>
  <si>
    <t>913840</t>
  </si>
  <si>
    <t>991003376799702656</t>
  </si>
  <si>
    <t>2265652650002656</t>
  </si>
  <si>
    <t>32285002859881</t>
  </si>
  <si>
    <t>893531132</t>
  </si>
  <si>
    <t>HJ1000.5 .C65 1993</t>
  </si>
  <si>
    <t>0                      HJ 1000500C  65          1993</t>
  </si>
  <si>
    <t>Competitive disinflation : the mark and budgetary politics in Europe / by J.-P. Fitoussi ... [et al.].</t>
  </si>
  <si>
    <t>Oxford [England] ; New York : Oxford University Press, 1993.</t>
  </si>
  <si>
    <t xml:space="preserve">HJ </t>
  </si>
  <si>
    <t>1995-10-24</t>
  </si>
  <si>
    <t>1993-09-09</t>
  </si>
  <si>
    <t>807217760:eng</t>
  </si>
  <si>
    <t>27222719</t>
  </si>
  <si>
    <t>991002124939702656</t>
  </si>
  <si>
    <t>2268080490002656</t>
  </si>
  <si>
    <t>9780198773627</t>
  </si>
  <si>
    <t>32285001765436</t>
  </si>
  <si>
    <t>893341057</t>
  </si>
  <si>
    <t>HJ1119 .R47</t>
  </si>
  <si>
    <t>0                      HJ 1119000R  47</t>
  </si>
  <si>
    <t>Fiscal policy for growth without inflation; the German experiment.</t>
  </si>
  <si>
    <t>Reuss, Frederick G.</t>
  </si>
  <si>
    <t>[Baltimore] Johns Hopkins Press, 1963.</t>
  </si>
  <si>
    <t>1963</t>
  </si>
  <si>
    <t>The Goucher College series</t>
  </si>
  <si>
    <t>1997-07-24</t>
  </si>
  <si>
    <t>376499323:eng</t>
  </si>
  <si>
    <t>259546</t>
  </si>
  <si>
    <t>991002023249702656</t>
  </si>
  <si>
    <t>2272759730002656</t>
  </si>
  <si>
    <t>32285003005062</t>
  </si>
  <si>
    <t>893497639</t>
  </si>
  <si>
    <t>HJ141 .D44 1987</t>
  </si>
  <si>
    <t>0                      HJ 0141000D  44          1987</t>
  </si>
  <si>
    <t>Deficits / edited by James M. Buchanan, Charles K. Rowley, and Robert D. Tollison.</t>
  </si>
  <si>
    <t>Oxford, OX, UK ; New York, NY, USA : Basil Blackwell, 1987, c1986.</t>
  </si>
  <si>
    <t>1993-03-03</t>
  </si>
  <si>
    <t>1992-04-27</t>
  </si>
  <si>
    <t>365149450:eng</t>
  </si>
  <si>
    <t>14001434</t>
  </si>
  <si>
    <t>991000897369702656</t>
  </si>
  <si>
    <t>2258963660002656</t>
  </si>
  <si>
    <t>9780631149187</t>
  </si>
  <si>
    <t>32285001089241</t>
  </si>
  <si>
    <t>893884858</t>
  </si>
  <si>
    <t>HJ141 .P4 1979</t>
  </si>
  <si>
    <t>0                      HJ 0141000P  4           1979</t>
  </si>
  <si>
    <t>The economic analysis of government, and related themes / Alan Peacock.</t>
  </si>
  <si>
    <t>Peacock, Alan T., 1922-2014.</t>
  </si>
  <si>
    <t>New York : St. Martin's Press, 1979.</t>
  </si>
  <si>
    <t>1979</t>
  </si>
  <si>
    <t>1993-09-30</t>
  </si>
  <si>
    <t>442233:eng</t>
  </si>
  <si>
    <t>5101325</t>
  </si>
  <si>
    <t>991004776299702656</t>
  </si>
  <si>
    <t>2259255380002656</t>
  </si>
  <si>
    <t>9780312226787</t>
  </si>
  <si>
    <t>32285001191260</t>
  </si>
  <si>
    <t>893810683</t>
  </si>
  <si>
    <t>HJ192 .G53 1979</t>
  </si>
  <si>
    <t>0                      HJ 0192000G  53          1979</t>
  </si>
  <si>
    <t>Public economics : politicians, property rights, and exchange / Adam Gifford, Jr., Gary J. Santoni.</t>
  </si>
  <si>
    <t>Gifford, Adam, 1946-</t>
  </si>
  <si>
    <t>Hinsdale, Ill. : Dryden Press, c1979.</t>
  </si>
  <si>
    <t>1994-09-22</t>
  </si>
  <si>
    <t>793987835:eng</t>
  </si>
  <si>
    <t>5077156</t>
  </si>
  <si>
    <t>991004772199702656</t>
  </si>
  <si>
    <t>2262906750002656</t>
  </si>
  <si>
    <t>9780030216466</t>
  </si>
  <si>
    <t>32285001191278</t>
  </si>
  <si>
    <t>893789088</t>
  </si>
  <si>
    <t>HJ192 .O19 1991</t>
  </si>
  <si>
    <t>0                      HJ 0192000O  19          1991</t>
  </si>
  <si>
    <t>Studies in fiscal federalism / Wallace E. Oates.</t>
  </si>
  <si>
    <t>Oates, Wallace E.</t>
  </si>
  <si>
    <t>Aldershot, Hants, England ; Brookfield, Vt., USA : E. Elgar, c1991.</t>
  </si>
  <si>
    <t>Economists of the twentieth century</t>
  </si>
  <si>
    <t>2002-05-01</t>
  </si>
  <si>
    <t>1992-06-10</t>
  </si>
  <si>
    <t>3856722700:eng</t>
  </si>
  <si>
    <t>23384164</t>
  </si>
  <si>
    <t>991005413329702656</t>
  </si>
  <si>
    <t>2267790960002656</t>
  </si>
  <si>
    <t>9781852785208</t>
  </si>
  <si>
    <t>32285001127470</t>
  </si>
  <si>
    <t>893248882</t>
  </si>
  <si>
    <t>HJ2009 .W54</t>
  </si>
  <si>
    <t>0                      HJ 2009000W  54</t>
  </si>
  <si>
    <t>Budgeting : a comparative theory of budgetary processes / Aaron Wildavsky.</t>
  </si>
  <si>
    <t>Wildavsky, Aaron B.</t>
  </si>
  <si>
    <t>Boston : Little, Brown, c1975.</t>
  </si>
  <si>
    <t>2006-05-02</t>
  </si>
  <si>
    <t>1993-04-23</t>
  </si>
  <si>
    <t>2632505:eng</t>
  </si>
  <si>
    <t>1818159</t>
  </si>
  <si>
    <t>991003898629702656</t>
  </si>
  <si>
    <t>2267543090002656</t>
  </si>
  <si>
    <t>32285001623304</t>
  </si>
  <si>
    <t>893318548</t>
  </si>
  <si>
    <t>HJ2031 .A83</t>
  </si>
  <si>
    <t>0                      HJ 2031000A  83</t>
  </si>
  <si>
    <t>Zero-base budgeting : a decision package manual / L. Allan Austin and Logan M. Cheek.</t>
  </si>
  <si>
    <t>Austin, L. Allan.</t>
  </si>
  <si>
    <t>New York : AMACOM, c1979.</t>
  </si>
  <si>
    <t>1994-04-11</t>
  </si>
  <si>
    <t>1992-07-14</t>
  </si>
  <si>
    <t>10627831335:eng</t>
  </si>
  <si>
    <t>4933097</t>
  </si>
  <si>
    <t>991004749889702656</t>
  </si>
  <si>
    <t>2269017690002656</t>
  </si>
  <si>
    <t>9780814455135</t>
  </si>
  <si>
    <t>32285001191708</t>
  </si>
  <si>
    <t>893905058</t>
  </si>
  <si>
    <t>HJ2050 .B7</t>
  </si>
  <si>
    <t>0                      HJ 2050000B  7</t>
  </si>
  <si>
    <t>The Federal budgeting and appropriations process / by William J. Brown.</t>
  </si>
  <si>
    <t>Brown, William James, 1923-</t>
  </si>
  <si>
    <t>New York : Dept. of Economics and Research, American Bankers Association, [1967]</t>
  </si>
  <si>
    <t>1967</t>
  </si>
  <si>
    <t>2006-11-20</t>
  </si>
  <si>
    <t>1993-04-21</t>
  </si>
  <si>
    <t>2042770:eng</t>
  </si>
  <si>
    <t>1129524</t>
  </si>
  <si>
    <t>991003559359702656</t>
  </si>
  <si>
    <t>2272396470002656</t>
  </si>
  <si>
    <t>32285001622074</t>
  </si>
  <si>
    <t>893234290</t>
  </si>
  <si>
    <t>HJ2050 .G6 1975</t>
  </si>
  <si>
    <t>0                      HJ 2050000G  6           1975</t>
  </si>
  <si>
    <t>Public budgeting and finance : readings in theory and practice / edited by Robert T. Golembiewski, Jack Rabin.</t>
  </si>
  <si>
    <t>Golembiewski, Robert T. compiler.</t>
  </si>
  <si>
    <t>Itasca, Ill. : F. E. Peacock Publishers, [1975]</t>
  </si>
  <si>
    <t>2005-11-06</t>
  </si>
  <si>
    <t>359396997:eng</t>
  </si>
  <si>
    <t>1501875</t>
  </si>
  <si>
    <t>991003785689702656</t>
  </si>
  <si>
    <t>2263314810002656</t>
  </si>
  <si>
    <t>32285003005146</t>
  </si>
  <si>
    <t>893240606</t>
  </si>
  <si>
    <t>HJ2051 .B4</t>
  </si>
  <si>
    <t>0                      HJ 2051000B  4</t>
  </si>
  <si>
    <t>Government spending : trends and issues / Morris Beck.</t>
  </si>
  <si>
    <t>Beck, Morris, 1922-</t>
  </si>
  <si>
    <t>New York, N.Y. : Praeger, 1981.</t>
  </si>
  <si>
    <t>1993-04-17</t>
  </si>
  <si>
    <t>1990-03-28</t>
  </si>
  <si>
    <t>796653544:eng</t>
  </si>
  <si>
    <t>7271869</t>
  </si>
  <si>
    <t>991005094879702656</t>
  </si>
  <si>
    <t>2259455330002656</t>
  </si>
  <si>
    <t>9780030586293</t>
  </si>
  <si>
    <t>32285000105758</t>
  </si>
  <si>
    <t>893895854</t>
  </si>
  <si>
    <t>HJ2051 .B77</t>
  </si>
  <si>
    <t>0                      HJ 2051000B  77</t>
  </si>
  <si>
    <t>Budget concepts for economic analysis. Wilfred Lewis, Jr. editor.</t>
  </si>
  <si>
    <t>Washington, Brookings Institution [1968]</t>
  </si>
  <si>
    <t>Studies of government finance</t>
  </si>
  <si>
    <t>2000-07-19</t>
  </si>
  <si>
    <t>147017850:eng</t>
  </si>
  <si>
    <t>252957</t>
  </si>
  <si>
    <t>991001617419702656</t>
  </si>
  <si>
    <t>2270103450002656</t>
  </si>
  <si>
    <t>32285003005161</t>
  </si>
  <si>
    <t>893315889</t>
  </si>
  <si>
    <t>HJ2051 .C64 1983</t>
  </si>
  <si>
    <t>0                      HJ 2051000C  64          1983</t>
  </si>
  <si>
    <t>Strengthening the federal budget process : a requirement for effective fiscal control / a statement by the Research and Policy Committee of the Committee for Economic Development.</t>
  </si>
  <si>
    <t>Committee for Economic Development. Research and Policy Committee.</t>
  </si>
  <si>
    <t>New York : CED, 1983.</t>
  </si>
  <si>
    <t>1999-11-01</t>
  </si>
  <si>
    <t>1053101976:eng</t>
  </si>
  <si>
    <t>9762080</t>
  </si>
  <si>
    <t>991000253789702656</t>
  </si>
  <si>
    <t>2260258290002656</t>
  </si>
  <si>
    <t>9780871867773</t>
  </si>
  <si>
    <t>32285001191724</t>
  </si>
  <si>
    <t>893777815</t>
  </si>
  <si>
    <t>HJ2051 .C64 1984</t>
  </si>
  <si>
    <t>0                      HJ 2051000C  64          1984</t>
  </si>
  <si>
    <t>Fighting federal deficits : the time for hard choices, a statement / by the Research and Policy Committee of the Committee for Economic Development.</t>
  </si>
  <si>
    <t>New York : Committee for Economic Development, [1984]</t>
  </si>
  <si>
    <t>2003-11-01</t>
  </si>
  <si>
    <t>4035338:eng</t>
  </si>
  <si>
    <t>11133290</t>
  </si>
  <si>
    <t>991000495039702656</t>
  </si>
  <si>
    <t>2256473470002656</t>
  </si>
  <si>
    <t>9780871867797</t>
  </si>
  <si>
    <t>32285001191732</t>
  </si>
  <si>
    <t>893796701</t>
  </si>
  <si>
    <t>HJ2051 .C665 1984</t>
  </si>
  <si>
    <t>0                      HJ 2051000C  665         1984</t>
  </si>
  <si>
    <t>Congressional budgeting : politics, process, and power / edited by W. Thomas Wander, F. Ted Hebert, and Gary W. Copeland.</t>
  </si>
  <si>
    <t>Baltimore : Johns Hopkins University Press, c1984.</t>
  </si>
  <si>
    <t>817728842:eng</t>
  </si>
  <si>
    <t>10751325</t>
  </si>
  <si>
    <t>991000422619702656</t>
  </si>
  <si>
    <t>2266218190002656</t>
  </si>
  <si>
    <t>9780801823961</t>
  </si>
  <si>
    <t>32285001191757</t>
  </si>
  <si>
    <t>893407166</t>
  </si>
  <si>
    <t>HJ2051 .E37 1986</t>
  </si>
  <si>
    <t>0                      HJ 2051000E  37          1986</t>
  </si>
  <si>
    <t>How real is the federal deficit? / Robert Eisner.</t>
  </si>
  <si>
    <t>Eisner, Robert.</t>
  </si>
  <si>
    <t>New York : Free Press ; London : Collier Macmillan, c1986.</t>
  </si>
  <si>
    <t>1986</t>
  </si>
  <si>
    <t>2004-09-12</t>
  </si>
  <si>
    <t>1990-04-25</t>
  </si>
  <si>
    <t>5855074:eng</t>
  </si>
  <si>
    <t>13095382</t>
  </si>
  <si>
    <t>991000780479702656</t>
  </si>
  <si>
    <t>2255619030002656</t>
  </si>
  <si>
    <t>9780029094303</t>
  </si>
  <si>
    <t>32285000133008</t>
  </si>
  <si>
    <t>893315225</t>
  </si>
  <si>
    <t>HJ2051 .H325 1997</t>
  </si>
  <si>
    <t>0                      HJ 2051000H  325         1997</t>
  </si>
  <si>
    <t>Mirage : why neither Democrats nor Republicans can balance the budget, end the deficit, and satisfy the public / George Hager and Eric Pianin.</t>
  </si>
  <si>
    <t>Hager, George.</t>
  </si>
  <si>
    <t>New York : Times Books, c1997.</t>
  </si>
  <si>
    <t>1997</t>
  </si>
  <si>
    <t>2002-03-08</t>
  </si>
  <si>
    <t>1997-06-16</t>
  </si>
  <si>
    <t>368394857:eng</t>
  </si>
  <si>
    <t>35566202</t>
  </si>
  <si>
    <t>991002712419702656</t>
  </si>
  <si>
    <t>2257954550002656</t>
  </si>
  <si>
    <t>9780812924527</t>
  </si>
  <si>
    <t>32285002751674</t>
  </si>
  <si>
    <t>893610185</t>
  </si>
  <si>
    <t>HJ2051 .K66 1992</t>
  </si>
  <si>
    <t>0                      HJ 2051000K  66          1992</t>
  </si>
  <si>
    <t>Generational accounting : knowing who pays, and when, for what we spend / Laurence J. Kotlikoff.</t>
  </si>
  <si>
    <t>Kotlikoff, Laurence J.</t>
  </si>
  <si>
    <t>New York : Free Press ; Toronto : Maxwell Macmillan Canada ; New York : Maxwell Macmillan International, c1992.</t>
  </si>
  <si>
    <t>1995-04-07</t>
  </si>
  <si>
    <t>1994-04-21</t>
  </si>
  <si>
    <t>865582511:eng</t>
  </si>
  <si>
    <t>25051329</t>
  </si>
  <si>
    <t>991001976989702656</t>
  </si>
  <si>
    <t>2268964720002656</t>
  </si>
  <si>
    <t>9780029184639</t>
  </si>
  <si>
    <t>32285001876381</t>
  </si>
  <si>
    <t>893334785</t>
  </si>
  <si>
    <t>HJ2051 .M65 1986</t>
  </si>
  <si>
    <t>0                      HJ 2051000M  65          1986</t>
  </si>
  <si>
    <t>The federal budget and financial system : a management perspective / Joseph F. Moraglio and Harry D. Kerrigan.</t>
  </si>
  <si>
    <t>Moraglio, Joseph F.</t>
  </si>
  <si>
    <t>Westport, Conn. : Quorum Books, 1986.</t>
  </si>
  <si>
    <t>2002-01-27</t>
  </si>
  <si>
    <t>356099559:eng</t>
  </si>
  <si>
    <t>12215640</t>
  </si>
  <si>
    <t>991000656409702656</t>
  </si>
  <si>
    <t>2265513880002656</t>
  </si>
  <si>
    <t>9780899301273</t>
  </si>
  <si>
    <t>32285000105766</t>
  </si>
  <si>
    <t>893327473</t>
  </si>
  <si>
    <t>HJ2051 .P464 1988</t>
  </si>
  <si>
    <t>0                      HJ 2051000P  464         1988</t>
  </si>
  <si>
    <t>Broken purse strings : Congressional budgeting 1974 to 1988 / Rudolph G. Penner, Alan J. Abramson.</t>
  </si>
  <si>
    <t>Penner, Rudolph Gerhard, 1936-</t>
  </si>
  <si>
    <t>Ann Arbor : Gerald R. Ford Foundation ; Washington, D.C. : Urban Institute, 1988.</t>
  </si>
  <si>
    <t>miu</t>
  </si>
  <si>
    <t>1994-04-09</t>
  </si>
  <si>
    <t>1989-11-07</t>
  </si>
  <si>
    <t>141448045:eng</t>
  </si>
  <si>
    <t>18521071</t>
  </si>
  <si>
    <t>991001360819702656</t>
  </si>
  <si>
    <t>2268111220002656</t>
  </si>
  <si>
    <t>9780877664246</t>
  </si>
  <si>
    <t>32285000012202</t>
  </si>
  <si>
    <t>893785049</t>
  </si>
  <si>
    <t>HJ2051 .R82 2003</t>
  </si>
  <si>
    <t>0                      HJ 2051000R  82          2003</t>
  </si>
  <si>
    <t>Balancing the federal budget : eating the seed corn or trimming the herds? / Irene S. Rubin.</t>
  </si>
  <si>
    <t>Rubin, Irene.</t>
  </si>
  <si>
    <t>New York : Chatham House Publishers/Seven Bridges Press, c2003.</t>
  </si>
  <si>
    <t>2003-04-08</t>
  </si>
  <si>
    <t>199051527:eng</t>
  </si>
  <si>
    <t>48390632</t>
  </si>
  <si>
    <t>991004015849702656</t>
  </si>
  <si>
    <t>2256381550002656</t>
  </si>
  <si>
    <t>9781889119625</t>
  </si>
  <si>
    <t>32285004689898</t>
  </si>
  <si>
    <t>893259212</t>
  </si>
  <si>
    <t>HJ2051 .S342 1986</t>
  </si>
  <si>
    <t>0                      HJ 2051000S  342         1986</t>
  </si>
  <si>
    <t>Crisis in the budget process : exercising political choice / by Allen Schick ; with papers by David Stockman ... [et al.].</t>
  </si>
  <si>
    <t>Schick, Allen.</t>
  </si>
  <si>
    <t>Washington, D.C. : American Enterprise Institute for Public Policy Research, c1986.</t>
  </si>
  <si>
    <t>AEI studies ; 438</t>
  </si>
  <si>
    <t>1993-07-02</t>
  </si>
  <si>
    <t>347128810:eng</t>
  </si>
  <si>
    <t>12907571</t>
  </si>
  <si>
    <t>991000749589702656</t>
  </si>
  <si>
    <t>2257651900002656</t>
  </si>
  <si>
    <t>9780844735962</t>
  </si>
  <si>
    <t>32285001191823</t>
  </si>
  <si>
    <t>893231382</t>
  </si>
  <si>
    <t>HJ2051 .S472 1997</t>
  </si>
  <si>
    <t>0                      HJ 2051000S  472         1997</t>
  </si>
  <si>
    <t>Setting national priorities : budget choices for the next century / Henry J. Aaron ... [et al.] ; Robert D. Reischauer, editor.</t>
  </si>
  <si>
    <t>Washington, D.C. : Brookings Institution Press, c1997.</t>
  </si>
  <si>
    <t>2000-05-03</t>
  </si>
  <si>
    <t>1997-03-26</t>
  </si>
  <si>
    <t>180995397:eng</t>
  </si>
  <si>
    <t>35842596</t>
  </si>
  <si>
    <t>991002732419702656</t>
  </si>
  <si>
    <t>2268689210002656</t>
  </si>
  <si>
    <t>9780815773979</t>
  </si>
  <si>
    <t>32285002476579</t>
  </si>
  <si>
    <t>893691935</t>
  </si>
  <si>
    <t>HJ2051 .W45 1991</t>
  </si>
  <si>
    <t>0                      HJ 2051000W  45          1991</t>
  </si>
  <si>
    <t>The deficit and the public interest : the search for responsible budgeting in the 1980s / Joseph White and Aaron Wildavsky.</t>
  </si>
  <si>
    <t>White, Joseph, 1952-</t>
  </si>
  <si>
    <t>Berkeley ; Oxford : University of California Press, 1991, c1989.</t>
  </si>
  <si>
    <t>1994-03-31</t>
  </si>
  <si>
    <t>1993-01-21</t>
  </si>
  <si>
    <t>1022573:eng</t>
  </si>
  <si>
    <t>19980954</t>
  </si>
  <si>
    <t>991002059549702656</t>
  </si>
  <si>
    <t>2267803440002656</t>
  </si>
  <si>
    <t>9780520076501</t>
  </si>
  <si>
    <t>32285001447142</t>
  </si>
  <si>
    <t>893433440</t>
  </si>
  <si>
    <t>HJ2052 .C646</t>
  </si>
  <si>
    <t>0                      HJ 2052000C  646</t>
  </si>
  <si>
    <t>The Constitution and the budget : are constitutional limits on tax, spending, and budget powers desirable at the Federal level? / edited by W. S. Moore and Rudolph G. Penner.</t>
  </si>
  <si>
    <t>Washington, D.C. : American Enterprise Institute for Public Policy Research, c1980.</t>
  </si>
  <si>
    <t>1980</t>
  </si>
  <si>
    <t>AEI symposia ; 80B</t>
  </si>
  <si>
    <t>1996-04-11</t>
  </si>
  <si>
    <t>1991-11-25</t>
  </si>
  <si>
    <t>350327368:eng</t>
  </si>
  <si>
    <t>6533289</t>
  </si>
  <si>
    <t>991004999459702656</t>
  </si>
  <si>
    <t>2263976020002656</t>
  </si>
  <si>
    <t>9780844721798</t>
  </si>
  <si>
    <t>32285000845122</t>
  </si>
  <si>
    <t>893319871</t>
  </si>
  <si>
    <t>HJ2052 .G68 1984</t>
  </si>
  <si>
    <t>0                      HJ 2052000G  68          1984</t>
  </si>
  <si>
    <t>Burning money : the waste of your tax dollars / J. Peter Grace.</t>
  </si>
  <si>
    <t>Grace, J. Peter (Joseph Peter)</t>
  </si>
  <si>
    <t>New York : Macmillan, 1984.</t>
  </si>
  <si>
    <t>1993-11-08</t>
  </si>
  <si>
    <t>1992-07-16</t>
  </si>
  <si>
    <t>902242957:eng</t>
  </si>
  <si>
    <t>11156303</t>
  </si>
  <si>
    <t>991000497239702656</t>
  </si>
  <si>
    <t>2256943840002656</t>
  </si>
  <si>
    <t>9780025449305</t>
  </si>
  <si>
    <t>32285001191880</t>
  </si>
  <si>
    <t>893890741</t>
  </si>
  <si>
    <t>HJ2052 .M43 1971</t>
  </si>
  <si>
    <t>0                      HJ 2052000M  43          1971</t>
  </si>
  <si>
    <t>The budget's new clothes : a critique of planning-programming-budgeting and benefit-cost analysis / Leonard Merewitz and Stephen H. Sosnick.</t>
  </si>
  <si>
    <t>Merewitz, Leonard.</t>
  </si>
  <si>
    <t>Chicago : Markham Pub. Co., c1971.</t>
  </si>
  <si>
    <t>Markham series in public policy analysis</t>
  </si>
  <si>
    <t>1993-08-29</t>
  </si>
  <si>
    <t>1420067:eng</t>
  </si>
  <si>
    <t>278473</t>
  </si>
  <si>
    <t>991002179159702656</t>
  </si>
  <si>
    <t>2258232680002656</t>
  </si>
  <si>
    <t>9780841009134</t>
  </si>
  <si>
    <t>32285001191906</t>
  </si>
  <si>
    <t>893804312</t>
  </si>
  <si>
    <t>HJ2052 .O8 1977</t>
  </si>
  <si>
    <t>0                      HJ 2052000O  8           1977</t>
  </si>
  <si>
    <t>Federal budget policy / David J. Ott and Attiat F. Ott.</t>
  </si>
  <si>
    <t>Ott, David J.</t>
  </si>
  <si>
    <t>Washington : Brookings Institution, c1977.</t>
  </si>
  <si>
    <t>3d ed.</t>
  </si>
  <si>
    <t>Studies of government finance ; 2d ser.</t>
  </si>
  <si>
    <t>2008-04-24</t>
  </si>
  <si>
    <t>1991-05-20</t>
  </si>
  <si>
    <t>1991-08-14</t>
  </si>
  <si>
    <t>478109:eng</t>
  </si>
  <si>
    <t>3089497</t>
  </si>
  <si>
    <t>991001778809702656</t>
  </si>
  <si>
    <t>2262872590002656</t>
  </si>
  <si>
    <t>9780815767107</t>
  </si>
  <si>
    <t>32285000597467</t>
  </si>
  <si>
    <t>893516481</t>
  </si>
  <si>
    <t>HJ2052 .P52</t>
  </si>
  <si>
    <t>0                      HJ 2052000P  52</t>
  </si>
  <si>
    <t>The President, the budget, and Congress : impoundment and the 1974 Budget act / James P. Pfiffner.</t>
  </si>
  <si>
    <t>Pfiffner, James P.</t>
  </si>
  <si>
    <t>Boulder, Colo. : Westview Press, 1979.</t>
  </si>
  <si>
    <t>Westview special studies in public policy and public systems management</t>
  </si>
  <si>
    <t>199043169:eng</t>
  </si>
  <si>
    <t>4638875</t>
  </si>
  <si>
    <t>991004695249702656</t>
  </si>
  <si>
    <t>2255901010002656</t>
  </si>
  <si>
    <t>9780891584681</t>
  </si>
  <si>
    <t>32285001191922</t>
  </si>
  <si>
    <t>893424092</t>
  </si>
  <si>
    <t>HJ2052 .R83 1985</t>
  </si>
  <si>
    <t>0                      HJ 2052000R  83          1985</t>
  </si>
  <si>
    <t>Shrinking the federal government : the effect of cutbacks on five federal agencies / Irene S. Rubin.</t>
  </si>
  <si>
    <t>New York : Longman, c1985.</t>
  </si>
  <si>
    <t>1993-07-28</t>
  </si>
  <si>
    <t>308765375:eng</t>
  </si>
  <si>
    <t>11517721</t>
  </si>
  <si>
    <t>991000545229702656</t>
  </si>
  <si>
    <t>2268892300002656</t>
  </si>
  <si>
    <t>9780582284739</t>
  </si>
  <si>
    <t>32285001191930</t>
  </si>
  <si>
    <t>893790624</t>
  </si>
  <si>
    <t>HJ2052 .S3</t>
  </si>
  <si>
    <t>0                      HJ 2052000S  3</t>
  </si>
  <si>
    <t>Congress and money : budgeting, spending and taxing / Allen Schick.</t>
  </si>
  <si>
    <t>Washington, D.C. : Urban Institute, c1980.</t>
  </si>
  <si>
    <t>1993-04-30</t>
  </si>
  <si>
    <t>536601:eng</t>
  </si>
  <si>
    <t>6906716</t>
  </si>
  <si>
    <t>991005057239702656</t>
  </si>
  <si>
    <t>2260497380002656</t>
  </si>
  <si>
    <t>9780877662785</t>
  </si>
  <si>
    <t>32285001191948</t>
  </si>
  <si>
    <t>893230144</t>
  </si>
  <si>
    <t>HJ2052 .S36</t>
  </si>
  <si>
    <t>0                      HJ 2052000S  36</t>
  </si>
  <si>
    <t>The politics and economics of public spending [by] Charles L. Schultze.</t>
  </si>
  <si>
    <t>Schultze, Charles L.</t>
  </si>
  <si>
    <t>Washington, Brookings Institution [c1968]</t>
  </si>
  <si>
    <t>The H. Rowan Gaither lectures in systems science</t>
  </si>
  <si>
    <t>1129459:eng</t>
  </si>
  <si>
    <t>6209</t>
  </si>
  <si>
    <t>991005438949702656</t>
  </si>
  <si>
    <t>2265148620002656</t>
  </si>
  <si>
    <t>32285003005302</t>
  </si>
  <si>
    <t>893613724</t>
  </si>
  <si>
    <t>HJ2052 .W54</t>
  </si>
  <si>
    <t>0                      HJ 2052000W  54</t>
  </si>
  <si>
    <t>How to limit government spending ... / Aaron Wildavsky.</t>
  </si>
  <si>
    <t>Berkeley : University of California Press, c1980.</t>
  </si>
  <si>
    <t xml:space="preserve">xx </t>
  </si>
  <si>
    <t>1999-11-05</t>
  </si>
  <si>
    <t>1992-05-05</t>
  </si>
  <si>
    <t>351911132:eng</t>
  </si>
  <si>
    <t>6560400</t>
  </si>
  <si>
    <t>991001617289702656</t>
  </si>
  <si>
    <t>2270687110002656</t>
  </si>
  <si>
    <t>9780520042278</t>
  </si>
  <si>
    <t>32285001092997</t>
  </si>
  <si>
    <t>893529043</t>
  </si>
  <si>
    <t>HJ2305 .E27</t>
  </si>
  <si>
    <t>0                      HJ 2305000E  27</t>
  </si>
  <si>
    <t>The Economics of taxation / Henry J. Aaron and Michael J. Boskin, editors.</t>
  </si>
  <si>
    <t>Washington, D.C. : Brookings Institution, c1980.</t>
  </si>
  <si>
    <t>Studies of government finance. Second series</t>
  </si>
  <si>
    <t>1995-09-26</t>
  </si>
  <si>
    <t>351997716:eng</t>
  </si>
  <si>
    <t>6041004</t>
  </si>
  <si>
    <t>991001813359702656</t>
  </si>
  <si>
    <t>2258788320002656</t>
  </si>
  <si>
    <t>9780815700135</t>
  </si>
  <si>
    <t>32285001191971</t>
  </si>
  <si>
    <t>893516525</t>
  </si>
  <si>
    <t>HJ2305 .E29 1987</t>
  </si>
  <si>
    <t>0                      HJ 2305000E  29          1987</t>
  </si>
  <si>
    <t>The Effects of taxation on capital accumulation / edited by Martin Feldstein.</t>
  </si>
  <si>
    <t>Chicago : University of Chicago Press, 1987.</t>
  </si>
  <si>
    <t>Project report (National Bureau of Economic Research)</t>
  </si>
  <si>
    <t>1991-11-12</t>
  </si>
  <si>
    <t>1076175927:eng</t>
  </si>
  <si>
    <t>14411799</t>
  </si>
  <si>
    <t>991000940739702656</t>
  </si>
  <si>
    <t>2262013190002656</t>
  </si>
  <si>
    <t>9780226240886</t>
  </si>
  <si>
    <t>32285000821305</t>
  </si>
  <si>
    <t>893696311</t>
  </si>
  <si>
    <t>HJ2305 .S88 1985</t>
  </si>
  <si>
    <t>0                      HJ 2305000S  88          1985</t>
  </si>
  <si>
    <t>Tax expenditures / Stanley S. Surrey and Paul R. McDaniel.</t>
  </si>
  <si>
    <t>Surrey, Stanley S.</t>
  </si>
  <si>
    <t>Cambridge, Mass. : Harvard University Press, 1985.</t>
  </si>
  <si>
    <t>2003-11-25</t>
  </si>
  <si>
    <t>1993-11-18</t>
  </si>
  <si>
    <t>3804818:eng</t>
  </si>
  <si>
    <t>11113238</t>
  </si>
  <si>
    <t>991001628649702656</t>
  </si>
  <si>
    <t>2258248360002656</t>
  </si>
  <si>
    <t>9780674868328</t>
  </si>
  <si>
    <t>32285001799815</t>
  </si>
  <si>
    <t>893803725</t>
  </si>
  <si>
    <t>HJ2306 .P19</t>
  </si>
  <si>
    <t>0                      HJ 2306000P  19</t>
  </si>
  <si>
    <t>The law and the profits / illustrated by Robert C. Osborn.</t>
  </si>
  <si>
    <t>Parkinson, C. Northcote (Cyril Northcote), 1909-1993.</t>
  </si>
  <si>
    <t>Boston : Houghton Mifflin, 1960.</t>
  </si>
  <si>
    <t>1996-11-25</t>
  </si>
  <si>
    <t>1991-03-11</t>
  </si>
  <si>
    <t>119320758:eng</t>
  </si>
  <si>
    <t>252807</t>
  </si>
  <si>
    <t>991001953169702656</t>
  </si>
  <si>
    <t>2270131900002656</t>
  </si>
  <si>
    <t>32285000545714</t>
  </si>
  <si>
    <t>893439600</t>
  </si>
  <si>
    <t>HJ2321 .A66</t>
  </si>
  <si>
    <t>0                      HJ 2321000A  66</t>
  </si>
  <si>
    <t>A theory of inequality and taxation / Patricia Apps.</t>
  </si>
  <si>
    <t>Apps, Patricia.</t>
  </si>
  <si>
    <t>Cambridge [Cambridgeshire] ; New York : Cambridge University Press, 1981.</t>
  </si>
  <si>
    <t>1999-10-28</t>
  </si>
  <si>
    <t>27316631:eng</t>
  </si>
  <si>
    <t>7462095</t>
  </si>
  <si>
    <t>991005115509702656</t>
  </si>
  <si>
    <t>2262729360002656</t>
  </si>
  <si>
    <t>9780521234375</t>
  </si>
  <si>
    <t>32285001191989</t>
  </si>
  <si>
    <t>893443424</t>
  </si>
  <si>
    <t>HJ2321 .M4</t>
  </si>
  <si>
    <t>0                      HJ 2321000M  4</t>
  </si>
  <si>
    <t>The shifting and incidence of taxation, by Otto von Mering ...</t>
  </si>
  <si>
    <t>Mering, Otto von.</t>
  </si>
  <si>
    <t>Philadelphia, The Blakiston Company [1942]</t>
  </si>
  <si>
    <t>1942</t>
  </si>
  <si>
    <t>1999-05-05</t>
  </si>
  <si>
    <t>1223086:eng</t>
  </si>
  <si>
    <t>1984675</t>
  </si>
  <si>
    <t>991003966069702656</t>
  </si>
  <si>
    <t>2260434540002656</t>
  </si>
  <si>
    <t>32285003005393</t>
  </si>
  <si>
    <t>893593114</t>
  </si>
  <si>
    <t>HJ2322.A3 F85 1993</t>
  </si>
  <si>
    <t>0                      HJ 2322000A  3                  F  85          1993</t>
  </si>
  <si>
    <t>Who bears the lifetime tax burden? / Don Fullerton, Diane Lim Rogers.</t>
  </si>
  <si>
    <t>Fullerton, Don.</t>
  </si>
  <si>
    <t>1993-07-12</t>
  </si>
  <si>
    <t>1994-11-29</t>
  </si>
  <si>
    <t>1993-06-02</t>
  </si>
  <si>
    <t>1994-10-28</t>
  </si>
  <si>
    <t>29811297:eng</t>
  </si>
  <si>
    <t>27223661</t>
  </si>
  <si>
    <t>991001656709702656</t>
  </si>
  <si>
    <t>2267668400002656</t>
  </si>
  <si>
    <t>9780815729921</t>
  </si>
  <si>
    <t>32285001706141</t>
  </si>
  <si>
    <t>893346677</t>
  </si>
  <si>
    <t>HJ2322.A3 P42 1985</t>
  </si>
  <si>
    <t>0                      HJ 2322000A  3                  P  42          1985</t>
  </si>
  <si>
    <t>Who paid the taxes, 1966-85? / Joseph A. Pechman.</t>
  </si>
  <si>
    <t>Pechman, Joseph A., 1918-1989.</t>
  </si>
  <si>
    <t>1999-03-01</t>
  </si>
  <si>
    <t>4174007:eng</t>
  </si>
  <si>
    <t>11495905</t>
  </si>
  <si>
    <t>991000541839702656</t>
  </si>
  <si>
    <t>2263457950002656</t>
  </si>
  <si>
    <t>9780815769972</t>
  </si>
  <si>
    <t>32285001191997</t>
  </si>
  <si>
    <t>893225077</t>
  </si>
  <si>
    <t>HJ2348.5 .S53 1982</t>
  </si>
  <si>
    <t>0                      HJ 2348500S  53          1982</t>
  </si>
  <si>
    <t>Beating the system : the underground economy / Carl P. Simon, Ann D. Witte ; with Kelly Eakin, Robin G. Schoettler, A. L. Ziegert.</t>
  </si>
  <si>
    <t>Simon, Carl P., 1945-</t>
  </si>
  <si>
    <t>Boston, Mass. : Auburn House Pub. Co., c1982.</t>
  </si>
  <si>
    <t>1982</t>
  </si>
  <si>
    <t>1992-11-16</t>
  </si>
  <si>
    <t>347749800:eng</t>
  </si>
  <si>
    <t>7738443</t>
  </si>
  <si>
    <t>991005155049702656</t>
  </si>
  <si>
    <t>2257848750002656</t>
  </si>
  <si>
    <t>9780865690912</t>
  </si>
  <si>
    <t>32285001192029</t>
  </si>
  <si>
    <t>893443497</t>
  </si>
  <si>
    <t>HJ2348.6 .C68 1990</t>
  </si>
  <si>
    <t>0                      HJ 2348600C  68          1990</t>
  </si>
  <si>
    <t>Cheating the government : the economics of evasion / Frank A. Cowell.</t>
  </si>
  <si>
    <t>Cowell, Frank A. (Frank Alan)</t>
  </si>
  <si>
    <t>Cambridge, Mass. : MIT Press, c1990.</t>
  </si>
  <si>
    <t>1990-09-20</t>
  </si>
  <si>
    <t>288930977:eng</t>
  </si>
  <si>
    <t>20131723</t>
  </si>
  <si>
    <t>991001541999702656</t>
  </si>
  <si>
    <t>2264081410002656</t>
  </si>
  <si>
    <t>9780262031530</t>
  </si>
  <si>
    <t>32285000277425</t>
  </si>
  <si>
    <t>893225913</t>
  </si>
  <si>
    <t>HJ2362 .G84 1992</t>
  </si>
  <si>
    <t>0                      HJ 2362000G  84          1992</t>
  </si>
  <si>
    <t>A Guide to tax research databases / 1990-1992 Research Methodologies Committee of the American Taxation Association ; Robert P. Crum, editor and committee chairperson.</t>
  </si>
  <si>
    <t>Sarasota, FL : American Taxation Association section of American Accounting Association, c1992</t>
  </si>
  <si>
    <t>1995-03-24</t>
  </si>
  <si>
    <t>1992-12-10</t>
  </si>
  <si>
    <t>29479587:eng</t>
  </si>
  <si>
    <t>27018975</t>
  </si>
  <si>
    <t>991002107169702656</t>
  </si>
  <si>
    <t>2255662650002656</t>
  </si>
  <si>
    <t>9780865390775</t>
  </si>
  <si>
    <t>32285001424992</t>
  </si>
  <si>
    <t>893809308</t>
  </si>
  <si>
    <t>HJ2362 .G85 1991</t>
  </si>
  <si>
    <t>0                      HJ 2362000G  85          1991</t>
  </si>
  <si>
    <t>A Guide to tax research methodologies / 1989-1990 Research Methods Committee of the American Taxation Association ; Charles R. Enis, editor and committee chairperson.</t>
  </si>
  <si>
    <t>Sarasota, FL : American Taxation Association section of American Accounting Association, c1991.</t>
  </si>
  <si>
    <t>1992-12-01</t>
  </si>
  <si>
    <t>28437997:eng</t>
  </si>
  <si>
    <t>25549935</t>
  </si>
  <si>
    <t>991002010039702656</t>
  </si>
  <si>
    <t>2260679290002656</t>
  </si>
  <si>
    <t>9780865390751</t>
  </si>
  <si>
    <t>32285001424893</t>
  </si>
  <si>
    <t>893523085</t>
  </si>
  <si>
    <t>HJ2381 .B73</t>
  </si>
  <si>
    <t>0                      HJ 2381000B  73</t>
  </si>
  <si>
    <t>Federal tax reform, the impossible dream? / George F. Break and Joseph A. Pechman.</t>
  </si>
  <si>
    <t>Break, George F.</t>
  </si>
  <si>
    <t>Washington : Brookings Institution, [1975]</t>
  </si>
  <si>
    <t>2000-10-27</t>
  </si>
  <si>
    <t>477871:eng</t>
  </si>
  <si>
    <t>1530873</t>
  </si>
  <si>
    <t>991003806589702656</t>
  </si>
  <si>
    <t>2269665540002656</t>
  </si>
  <si>
    <t>9780815710721</t>
  </si>
  <si>
    <t>32285003005658</t>
  </si>
  <si>
    <t>893252810</t>
  </si>
  <si>
    <t>HJ2381 .H27 1983</t>
  </si>
  <si>
    <t>0                      HJ 2381000H  27          1983</t>
  </si>
  <si>
    <t>The politics of taxation : revenue without representation / by Susan B. Hansen.</t>
  </si>
  <si>
    <t>Hansen, Susan B.</t>
  </si>
  <si>
    <t>New York, NY : Praeger, 1983.</t>
  </si>
  <si>
    <t>1992-12-18</t>
  </si>
  <si>
    <t>366254515:eng</t>
  </si>
  <si>
    <t>9325110</t>
  </si>
  <si>
    <t>991000173129702656</t>
  </si>
  <si>
    <t>2267472420002656</t>
  </si>
  <si>
    <t>9780030602382</t>
  </si>
  <si>
    <t>32285001192094</t>
  </si>
  <si>
    <t>893249149</t>
  </si>
  <si>
    <t>HJ2381 .R313 1978</t>
  </si>
  <si>
    <t>0                      HJ 2381000R  313         1978</t>
  </si>
  <si>
    <t>The income tax and business decisions : an introductory tax text / William L. Raby.</t>
  </si>
  <si>
    <t>Raby, William L.</t>
  </si>
  <si>
    <t>4th ed.</t>
  </si>
  <si>
    <t>1995-10-27</t>
  </si>
  <si>
    <t>1350360:eng</t>
  </si>
  <si>
    <t>3516368</t>
  </si>
  <si>
    <t>991004451979702656</t>
  </si>
  <si>
    <t>2272383080002656</t>
  </si>
  <si>
    <t>9780134543635</t>
  </si>
  <si>
    <t>32285001192144</t>
  </si>
  <si>
    <t>893259744</t>
  </si>
  <si>
    <t>HJ2381 .S9</t>
  </si>
  <si>
    <t>0                      HJ 2381000S  9</t>
  </si>
  <si>
    <t>Tax policy and tax reform: 1961-1969; selected speeches and testimony of Stanley S. Surrey. Edited by William F. Hellmuth and Oliver Oldman.</t>
  </si>
  <si>
    <t>[New York, Commerce Clearing House, c1973]</t>
  </si>
  <si>
    <t>1884856:eng</t>
  </si>
  <si>
    <t>897756</t>
  </si>
  <si>
    <t>991003361729702656</t>
  </si>
  <si>
    <t>2257577510002656</t>
  </si>
  <si>
    <t>32285001192151</t>
  </si>
  <si>
    <t>893416313</t>
  </si>
  <si>
    <t>HJ241 .M36 1994</t>
  </si>
  <si>
    <t>0                      HJ 0241000M  36          1994</t>
  </si>
  <si>
    <t>Debt and taxes / John H. Makin and Norman J. Ornstein.</t>
  </si>
  <si>
    <t>Makin, John H.</t>
  </si>
  <si>
    <t>New York : Times Books, c1994.</t>
  </si>
  <si>
    <t>1999-07-26</t>
  </si>
  <si>
    <t>1994-09-23</t>
  </si>
  <si>
    <t>29753258:eng</t>
  </si>
  <si>
    <t>28710780</t>
  </si>
  <si>
    <t>991002228809702656</t>
  </si>
  <si>
    <t>2262915510002656</t>
  </si>
  <si>
    <t>9780812923124</t>
  </si>
  <si>
    <t>32285001947281</t>
  </si>
  <si>
    <t>893341184</t>
  </si>
  <si>
    <t>HJ241 .M93</t>
  </si>
  <si>
    <t>0                      HJ 0241000M  93</t>
  </si>
  <si>
    <t>A financial history of the United States, by Margaret G. Myers.</t>
  </si>
  <si>
    <t>Myers, Margaret G. (Margaret Good), 1899-1988.</t>
  </si>
  <si>
    <t>New York, Columbia University Press, 1970.</t>
  </si>
  <si>
    <t>2008-11-03</t>
  </si>
  <si>
    <t>419628:eng</t>
  </si>
  <si>
    <t>89903</t>
  </si>
  <si>
    <t>991001694049702656</t>
  </si>
  <si>
    <t>2259146530002656</t>
  </si>
  <si>
    <t>9780231024426</t>
  </si>
  <si>
    <t>32285002919065</t>
  </si>
  <si>
    <t>893244313</t>
  </si>
  <si>
    <t>HJ249 .B76</t>
  </si>
  <si>
    <t>0                      HJ 0249000B  76</t>
  </si>
  <si>
    <t>The history of the surplus revenue of 1837; being an account of its origin, its distribution among the states, and the uses to which it was applied.</t>
  </si>
  <si>
    <t>Bourne, Edward Gaylord, 1860-1908.</t>
  </si>
  <si>
    <t>New York &amp; London, G. P. Putnam's Sons, 1885.</t>
  </si>
  <si>
    <t>1885</t>
  </si>
  <si>
    <t>On cover: Questions of the day, 24</t>
  </si>
  <si>
    <t>1144272:eng</t>
  </si>
  <si>
    <t>1018833</t>
  </si>
  <si>
    <t>991003474759702656</t>
  </si>
  <si>
    <t>2259616240002656</t>
  </si>
  <si>
    <t>32285002919131</t>
  </si>
  <si>
    <t>893893745</t>
  </si>
  <si>
    <t>HJ257 .E25 1973</t>
  </si>
  <si>
    <t>0                      HJ 0257000E  25          1973</t>
  </si>
  <si>
    <t>Public finance / Otto Eckstein.</t>
  </si>
  <si>
    <t>Eckstein, Otto.</t>
  </si>
  <si>
    <t>Englewood Cliffs, N.J. : Prentice-Hall, 1973.</t>
  </si>
  <si>
    <t>Foundations of modern economics series</t>
  </si>
  <si>
    <t>2000-09-15</t>
  </si>
  <si>
    <t>1344650:eng</t>
  </si>
  <si>
    <t>427549</t>
  </si>
  <si>
    <t>991002759899702656</t>
  </si>
  <si>
    <t>2264523150002656</t>
  </si>
  <si>
    <t>9780137374601</t>
  </si>
  <si>
    <t>32285001191310</t>
  </si>
  <si>
    <t>893227235</t>
  </si>
  <si>
    <t>HJ257 .M33</t>
  </si>
  <si>
    <t>0                      HJ 0257000M  33</t>
  </si>
  <si>
    <t>Fiscal policy, its techniques and institutional setting.</t>
  </si>
  <si>
    <t>Maxwell, James Ackley, 1897-1975.</t>
  </si>
  <si>
    <t>New York, H. Holt [1954]</t>
  </si>
  <si>
    <t>1954</t>
  </si>
  <si>
    <t>2010-12-09</t>
  </si>
  <si>
    <t>1344428:eng</t>
  </si>
  <si>
    <t>3955380</t>
  </si>
  <si>
    <t>991003895009702656</t>
  </si>
  <si>
    <t>2271011490002656</t>
  </si>
  <si>
    <t>32285002919321</t>
  </si>
  <si>
    <t>893259065</t>
  </si>
  <si>
    <t>HJ257.2 .B34 1982</t>
  </si>
  <si>
    <t>0                      HJ 0257200B  34          1982</t>
  </si>
  <si>
    <t>Balanced budgets, fiscal responsibility, and the Constitution / Richard E. Wagner ... [et al.].</t>
  </si>
  <si>
    <t>Washington, D.C. : Cato Institute, c1982.</t>
  </si>
  <si>
    <t>Studies in law and economics</t>
  </si>
  <si>
    <t>22130460:eng</t>
  </si>
  <si>
    <t>8975655</t>
  </si>
  <si>
    <t>991000105719702656</t>
  </si>
  <si>
    <t>2255881510002656</t>
  </si>
  <si>
    <t>9780932790361</t>
  </si>
  <si>
    <t>32285001191336</t>
  </si>
  <si>
    <t>893261363</t>
  </si>
  <si>
    <t>HJ257.2 .F75 1988</t>
  </si>
  <si>
    <t>0                      HJ 0257200F  75          1988</t>
  </si>
  <si>
    <t>Day of reckoning : the consequences of American economic policy under Reagan and after / Benjamin Friedman.</t>
  </si>
  <si>
    <t>Friedman, Benjamin M.</t>
  </si>
  <si>
    <t>New York : Random House, c1988.</t>
  </si>
  <si>
    <t>2008-06-09</t>
  </si>
  <si>
    <t>16958966:eng</t>
  </si>
  <si>
    <t>17840750</t>
  </si>
  <si>
    <t>991005231039702656</t>
  </si>
  <si>
    <t>2269103730002656</t>
  </si>
  <si>
    <t>9780394565538</t>
  </si>
  <si>
    <t>32285005443519</t>
  </si>
  <si>
    <t>893889905</t>
  </si>
  <si>
    <t>HJ257.2 .M36</t>
  </si>
  <si>
    <t>0                      HJ 0257200M  36</t>
  </si>
  <si>
    <t>Managing fiscal stress : the crisis in the public sector / edited by Charles H. Levine.</t>
  </si>
  <si>
    <t>Chatham, N.J. : Chatham House Publishers, c1980.</t>
  </si>
  <si>
    <t>Chatham House series on change in American politics</t>
  </si>
  <si>
    <t>1991-07-12</t>
  </si>
  <si>
    <t>890235540:eng</t>
  </si>
  <si>
    <t>5846738</t>
  </si>
  <si>
    <t>991004888259702656</t>
  </si>
  <si>
    <t>2255151140002656</t>
  </si>
  <si>
    <t>32285000638394</t>
  </si>
  <si>
    <t>893344371</t>
  </si>
  <si>
    <t>HJ2650 .M2</t>
  </si>
  <si>
    <t>0                      HJ 2650000M  2</t>
  </si>
  <si>
    <t>The royal general farms in eighteenth-century France.</t>
  </si>
  <si>
    <t>Matthews, George Tennyson, 1917-</t>
  </si>
  <si>
    <t>New York, Columbia University Press, 1958 [c1954]</t>
  </si>
  <si>
    <t>2005-06-24</t>
  </si>
  <si>
    <t>1344540:eng</t>
  </si>
  <si>
    <t>252839</t>
  </si>
  <si>
    <t>991001953269702656</t>
  </si>
  <si>
    <t>2270098490002656</t>
  </si>
  <si>
    <t>32285003005930</t>
  </si>
  <si>
    <t>893621758</t>
  </si>
  <si>
    <t>HJ268 .R78 2003</t>
  </si>
  <si>
    <t>0                      HJ 0268000R  78          2003</t>
  </si>
  <si>
    <t>In an uncertain world : tough choices from Wall Street to Washington / Robert E. Rubin and Jacob Weisberg.</t>
  </si>
  <si>
    <t>Rubin, Robert Edward, 1938-</t>
  </si>
  <si>
    <t>New York : Random House, c2003.</t>
  </si>
  <si>
    <t>2004-01-21</t>
  </si>
  <si>
    <t>687341:eng</t>
  </si>
  <si>
    <t>52127817</t>
  </si>
  <si>
    <t>991004219579702656</t>
  </si>
  <si>
    <t>2262779790002656</t>
  </si>
  <si>
    <t>9780375505850</t>
  </si>
  <si>
    <t>32285004635719</t>
  </si>
  <si>
    <t>893247307</t>
  </si>
  <si>
    <t>HJ275 .F68 1983</t>
  </si>
  <si>
    <t>0                      HJ 0275000F  68          1983</t>
  </si>
  <si>
    <t>Federal aid to big cities : the politics of dependence / James W. Fossett.</t>
  </si>
  <si>
    <t>Fossett, James W.</t>
  </si>
  <si>
    <t>Washington, D.C. : The Brookings Institution, c1983.</t>
  </si>
  <si>
    <t>1996-02-20</t>
  </si>
  <si>
    <t>427812195:eng</t>
  </si>
  <si>
    <t>9804422</t>
  </si>
  <si>
    <t>991000268299702656</t>
  </si>
  <si>
    <t>2255835670002656</t>
  </si>
  <si>
    <t>9780815728955</t>
  </si>
  <si>
    <t>32285001191435</t>
  </si>
  <si>
    <t>893327180</t>
  </si>
  <si>
    <t>HJ275 .R35</t>
  </si>
  <si>
    <t>0                      HJ 0275000R  35</t>
  </si>
  <si>
    <t>Restructuring the federal system : approaches to accountability in postcategorical programs / editors, Joseph D. Sneed, Steven A. Waldhorn.</t>
  </si>
  <si>
    <t>New York : Crane, Russak, [1975]</t>
  </si>
  <si>
    <t>2007-09-14</t>
  </si>
  <si>
    <t>422944872:eng</t>
  </si>
  <si>
    <t>1502007</t>
  </si>
  <si>
    <t>991003785909702656</t>
  </si>
  <si>
    <t>2263628510002656</t>
  </si>
  <si>
    <t>9780844803739</t>
  </si>
  <si>
    <t>32285002919701</t>
  </si>
  <si>
    <t>893722100</t>
  </si>
  <si>
    <t>HJ275 .S48</t>
  </si>
  <si>
    <t>0                      HJ 0275000S  48</t>
  </si>
  <si>
    <t>Spending in the American States.</t>
  </si>
  <si>
    <t>Sharkansky, Ira.</t>
  </si>
  <si>
    <t>Chicago, Rand McNally [1968]</t>
  </si>
  <si>
    <t>American politics research series</t>
  </si>
  <si>
    <t>2005-04-05</t>
  </si>
  <si>
    <t>1346011:eng</t>
  </si>
  <si>
    <t>253307</t>
  </si>
  <si>
    <t>991001959559702656</t>
  </si>
  <si>
    <t>2267365580002656</t>
  </si>
  <si>
    <t>32285002919743</t>
  </si>
  <si>
    <t>893316209</t>
  </si>
  <si>
    <t>HJ275 .S682 1980</t>
  </si>
  <si>
    <t>0                      HJ 0275000S  682         1980</t>
  </si>
  <si>
    <t>Essays in public finance and financial management : state and local perspectives / edited by John E. Petersen and Catherine Lavigne Spain ; with the assistance of Martharose F. Laffey.</t>
  </si>
  <si>
    <t>2010-04-15</t>
  </si>
  <si>
    <t>19896644:eng</t>
  </si>
  <si>
    <t>5726610</t>
  </si>
  <si>
    <t>991004865299702656</t>
  </si>
  <si>
    <t>2263177050002656</t>
  </si>
  <si>
    <t>9780934540032</t>
  </si>
  <si>
    <t>32285001191476</t>
  </si>
  <si>
    <t>893332136</t>
  </si>
  <si>
    <t>HJ3258.A2 R57 1992</t>
  </si>
  <si>
    <t>0                      HJ 3258000A  2                  R  57          1992</t>
  </si>
  <si>
    <t>Reviving the American dream : the economy, the states &amp; the federal government / Alice Rivlin.</t>
  </si>
  <si>
    <t>Rivlin, Alice M.</t>
  </si>
  <si>
    <t>Washington, D.C. : Brookings Institution, c1992.</t>
  </si>
  <si>
    <t>1994-08-31</t>
  </si>
  <si>
    <t>799758691:eng</t>
  </si>
  <si>
    <t>25832693</t>
  </si>
  <si>
    <t>991002029149702656</t>
  </si>
  <si>
    <t>2264239940002656</t>
  </si>
  <si>
    <t>9780815774761</t>
  </si>
  <si>
    <t>32285001168938</t>
  </si>
  <si>
    <t>893244673</t>
  </si>
  <si>
    <t>HJ4120 .A62</t>
  </si>
  <si>
    <t>0                      HJ 4120000A  62</t>
  </si>
  <si>
    <t>Who pays the property tax? : A new view / Henry J. Aaron.</t>
  </si>
  <si>
    <t>Aaron, Henry J.</t>
  </si>
  <si>
    <t>1995-06-20</t>
  </si>
  <si>
    <t>195378552:eng</t>
  </si>
  <si>
    <t>1504973</t>
  </si>
  <si>
    <t>991001719489702656</t>
  </si>
  <si>
    <t>2261980050002656</t>
  </si>
  <si>
    <t>9780815700227</t>
  </si>
  <si>
    <t>32285003005997</t>
  </si>
  <si>
    <t>893879112</t>
  </si>
  <si>
    <t>HJ4120 .U58 1998</t>
  </si>
  <si>
    <t>0                      HJ 4120000U  58          1998</t>
  </si>
  <si>
    <t>Understanding the property tax.</t>
  </si>
  <si>
    <t>Washington, D.C. : NEA Research, 1998.</t>
  </si>
  <si>
    <t>1998</t>
  </si>
  <si>
    <t>2005-04-02</t>
  </si>
  <si>
    <t>1998-12-10</t>
  </si>
  <si>
    <t>23549412:eng</t>
  </si>
  <si>
    <t>40455942</t>
  </si>
  <si>
    <t>991002994059702656</t>
  </si>
  <si>
    <t>2271514670002656</t>
  </si>
  <si>
    <t>32285003505566</t>
  </si>
  <si>
    <t>893317528</t>
  </si>
  <si>
    <t>HJ4191 .O85 1995</t>
  </si>
  <si>
    <t>0                      HJ 4191000O  85          1995</t>
  </si>
  <si>
    <t>Property taxes and tax revolts : the legacy of Proposition 13 / Arthur O'Sullivan, Terri A. Sexton, Steven M. Sheffrin.</t>
  </si>
  <si>
    <t>O'Sullivan, Arthur.</t>
  </si>
  <si>
    <t>Cambridge [England] ; New York, N.Y., USA : Cambridge University Press, 1995.</t>
  </si>
  <si>
    <t>1998-02-17</t>
  </si>
  <si>
    <t>1996-06-20</t>
  </si>
  <si>
    <t>324466185:eng</t>
  </si>
  <si>
    <t>29953473</t>
  </si>
  <si>
    <t>991002309049702656</t>
  </si>
  <si>
    <t>2263937830002656</t>
  </si>
  <si>
    <t>9780521461597</t>
  </si>
  <si>
    <t>32285002171139</t>
  </si>
  <si>
    <t>893798426</t>
  </si>
  <si>
    <t>HJ4652 .B37 1996</t>
  </si>
  <si>
    <t>0                      HJ 4652000B  37          1996</t>
  </si>
  <si>
    <t>Replacing the income tax : principles for a new tax system : a report of the CSIS domestic policy issues program / Bradley D. Belt, Alexander T. Hunt.</t>
  </si>
  <si>
    <t>Belt, Bradley D.</t>
  </si>
  <si>
    <t>Washington, D.C. : Center for Strategic and International Studies, c1996.</t>
  </si>
  <si>
    <t>CSIS report</t>
  </si>
  <si>
    <t>2009-12-04</t>
  </si>
  <si>
    <t>1996-05-28</t>
  </si>
  <si>
    <t>199203651:eng</t>
  </si>
  <si>
    <t>33276004</t>
  </si>
  <si>
    <t>991002559439702656</t>
  </si>
  <si>
    <t>2257766800002656</t>
  </si>
  <si>
    <t>9780892062812</t>
  </si>
  <si>
    <t>32285002177599</t>
  </si>
  <si>
    <t>893691736</t>
  </si>
  <si>
    <t>HJ4652 .C428</t>
  </si>
  <si>
    <t>0                      HJ 4652000C  428</t>
  </si>
  <si>
    <t>The income tax, root of all evil / introd. by J. Bracken Lee.</t>
  </si>
  <si>
    <t>Chodorov, Frank, 1887-1966.</t>
  </si>
  <si>
    <t>New York : Devin-Adair Co., [1954]</t>
  </si>
  <si>
    <t>1992-12-15</t>
  </si>
  <si>
    <t>10828666:eng</t>
  </si>
  <si>
    <t>5383845</t>
  </si>
  <si>
    <t>991004828799702656</t>
  </si>
  <si>
    <t>2269198560002656</t>
  </si>
  <si>
    <t>32285001403608</t>
  </si>
  <si>
    <t>893332093</t>
  </si>
  <si>
    <t>HJ4652 .C66</t>
  </si>
  <si>
    <t>0                      HJ 4652000C  66</t>
  </si>
  <si>
    <t>Comprehensive income taxation : a report of a conference sponsored by the Fund for Public Policy Research and the Brookings Institution / Joseph A. Pechman, editor.</t>
  </si>
  <si>
    <t>10677872607:eng</t>
  </si>
  <si>
    <t>3121042</t>
  </si>
  <si>
    <t>991001779339702656</t>
  </si>
  <si>
    <t>2263313870002656</t>
  </si>
  <si>
    <t>9780815769828</t>
  </si>
  <si>
    <t>32285003006409</t>
  </si>
  <si>
    <t>893803890</t>
  </si>
  <si>
    <t>HJ4652 .F76 2001</t>
  </si>
  <si>
    <t>0                      HJ 4652000F  76          2001</t>
  </si>
  <si>
    <t>If Americans really understood the income tax : uncovering our most expensive ignorance / John O. Fox.</t>
  </si>
  <si>
    <t>Fox, John O.</t>
  </si>
  <si>
    <t>Boulder, Colo. : Westview Press, 2001.</t>
  </si>
  <si>
    <t>16228759:eng</t>
  </si>
  <si>
    <t>45375089</t>
  </si>
  <si>
    <t>991003539109702656</t>
  </si>
  <si>
    <t>2256692270002656</t>
  </si>
  <si>
    <t>9780813397955</t>
  </si>
  <si>
    <t>32285004328000</t>
  </si>
  <si>
    <t>893781109</t>
  </si>
  <si>
    <t>HJ4652 .H74</t>
  </si>
  <si>
    <t>0                      HJ 4652000H  74</t>
  </si>
  <si>
    <t>The IRS conspiracy / [by] Henry J. Hohenstein.</t>
  </si>
  <si>
    <t>Hohenstein, Henry J.</t>
  </si>
  <si>
    <t>Los Angeles : Nash Pub., [1974]</t>
  </si>
  <si>
    <t>1992-11-24</t>
  </si>
  <si>
    <t>1909574:eng</t>
  </si>
  <si>
    <t>947623</t>
  </si>
  <si>
    <t>991003408109702656</t>
  </si>
  <si>
    <t>2264489970002656</t>
  </si>
  <si>
    <t>9780840213303</t>
  </si>
  <si>
    <t>32285001408862</t>
  </si>
  <si>
    <t>893780992</t>
  </si>
  <si>
    <t>HJ4652 .W53</t>
  </si>
  <si>
    <t>0                      HJ 4652000W  53</t>
  </si>
  <si>
    <t>Man to man : a primary attack on communism's stronghold--the income tax / by Bernard N. Ward ; illustrations and jacket by Rodolphe LaRiviere.</t>
  </si>
  <si>
    <t>Ward, Bernard Nicholas, 1891-</t>
  </si>
  <si>
    <t>Caldwell, Idaho : Caxton Printers, c1952, 1957 printing.</t>
  </si>
  <si>
    <t>1952</t>
  </si>
  <si>
    <t>idu</t>
  </si>
  <si>
    <t>1992-07-17</t>
  </si>
  <si>
    <t>11945029:eng</t>
  </si>
  <si>
    <t>3684084</t>
  </si>
  <si>
    <t>991004494259702656</t>
  </si>
  <si>
    <t>2261355690002656</t>
  </si>
  <si>
    <t>32285001192367</t>
  </si>
  <si>
    <t>893241505</t>
  </si>
  <si>
    <t>HJ4653.A3 S75 1985</t>
  </si>
  <si>
    <t>0                      HJ 4653000A  3                  S  75          1985</t>
  </si>
  <si>
    <t>Taxes, loans, and inflation : how the nation's wealth becomes misallocated / C. Eugene Steuerle.</t>
  </si>
  <si>
    <t>Steuerle, C. Eugene, 1946-</t>
  </si>
  <si>
    <t>1995-12-04</t>
  </si>
  <si>
    <t>197219216:eng</t>
  </si>
  <si>
    <t>11915532</t>
  </si>
  <si>
    <t>991000610929702656</t>
  </si>
  <si>
    <t>2270823350002656</t>
  </si>
  <si>
    <t>9780815781332</t>
  </si>
  <si>
    <t>32285001192391</t>
  </si>
  <si>
    <t>893778073</t>
  </si>
  <si>
    <t>HJ4653.F65 T39 1990</t>
  </si>
  <si>
    <t>0                      HJ 4653000F  65                 T  39          1990</t>
  </si>
  <si>
    <t>Taxation in the global economy / edited by Assaf Razin and Joel Slemrod.</t>
  </si>
  <si>
    <t>Chicago : University of Chicago Press, c1990.</t>
  </si>
  <si>
    <t>A National Bureau of Economic Research project report</t>
  </si>
  <si>
    <t>2008-03-05</t>
  </si>
  <si>
    <t>1991-05-30</t>
  </si>
  <si>
    <t>1044419620:eng</t>
  </si>
  <si>
    <t>21039330</t>
  </si>
  <si>
    <t>991001643749702656</t>
  </si>
  <si>
    <t>2259344830002656</t>
  </si>
  <si>
    <t>9780226705910</t>
  </si>
  <si>
    <t>32285000590256</t>
  </si>
  <si>
    <t>893715573</t>
  </si>
  <si>
    <t>HJ535 .S3 1983</t>
  </si>
  <si>
    <t>0                      HJ 0535000S  3           1983</t>
  </si>
  <si>
    <t>Federal aid to St. Louis / Henry J. Schmandt, George D. Wendel, and E. Allan Tomey.</t>
  </si>
  <si>
    <t>Schmandt, Henry J.</t>
  </si>
  <si>
    <t>Washington, D.C. : Brookings Institution, c1983.</t>
  </si>
  <si>
    <t>1992-09-03</t>
  </si>
  <si>
    <t>43959490:eng</t>
  </si>
  <si>
    <t>9814703</t>
  </si>
  <si>
    <t>991000268179702656</t>
  </si>
  <si>
    <t>2255811690002656</t>
  </si>
  <si>
    <t>9780815777274</t>
  </si>
  <si>
    <t>32285001191542</t>
  </si>
  <si>
    <t>893444260</t>
  </si>
  <si>
    <t>HJ5715.U6 D77 1994</t>
  </si>
  <si>
    <t>0                      HJ 5715000U  6                  D  77          1994</t>
  </si>
  <si>
    <t>Sales taxation : state and local structure and administration / John F. Due, John L. Mikesell.</t>
  </si>
  <si>
    <t>Due, John F. (John Fitzgerald), 1915-2009.</t>
  </si>
  <si>
    <t>Washington, D.C. : Urban Institute Press, c1994.</t>
  </si>
  <si>
    <t>2nd ed., completely rev. and updated.</t>
  </si>
  <si>
    <t>1997-02-22</t>
  </si>
  <si>
    <t>1996-02-29</t>
  </si>
  <si>
    <t>1997-01-21</t>
  </si>
  <si>
    <t>1346279:eng</t>
  </si>
  <si>
    <t>31206978</t>
  </si>
  <si>
    <t>991001664089702656</t>
  </si>
  <si>
    <t>2259360370002656</t>
  </si>
  <si>
    <t>9780877666271</t>
  </si>
  <si>
    <t>32285002138575</t>
  </si>
  <si>
    <t>893322130</t>
  </si>
  <si>
    <t>HJ5715.U6 N54</t>
  </si>
  <si>
    <t>0                      HJ 5715000U  6                  N  54</t>
  </si>
  <si>
    <t>A federal sales tax / compiled by Egbert Ray Nichols, assisted by Charles Wallis.</t>
  </si>
  <si>
    <t>Nichols, Egbert Ray, compiler.</t>
  </si>
  <si>
    <t>New York : The H.W. Wilson Company, 1942.</t>
  </si>
  <si>
    <t>The Reference shelf, v. 15, no. 10</t>
  </si>
  <si>
    <t>1992-11-23</t>
  </si>
  <si>
    <t>1992-02-12</t>
  </si>
  <si>
    <t>1817318:eng</t>
  </si>
  <si>
    <t>647453</t>
  </si>
  <si>
    <t>991003097869702656</t>
  </si>
  <si>
    <t>2260698900002656</t>
  </si>
  <si>
    <t>32285000956218</t>
  </si>
  <si>
    <t>893799389</t>
  </si>
  <si>
    <t>HJ8011 .M34 2003</t>
  </si>
  <si>
    <t>0                      HJ 8011000M  34          2003</t>
  </si>
  <si>
    <t>A free nation deep in debt : the financial roots of democracy / James Macdonald.</t>
  </si>
  <si>
    <t>MacDonald, James.</t>
  </si>
  <si>
    <t>New York : Farrar, Straus and Giroux, 2003.</t>
  </si>
  <si>
    <t>1082542:eng</t>
  </si>
  <si>
    <t>51744647</t>
  </si>
  <si>
    <t>991004015809702656</t>
  </si>
  <si>
    <t>2257653070002656</t>
  </si>
  <si>
    <t>9780374171438</t>
  </si>
  <si>
    <t>32285004689872</t>
  </si>
  <si>
    <t>893318694</t>
  </si>
  <si>
    <t>HJ8032.A2 S55 1995</t>
  </si>
  <si>
    <t>0                      HJ 8032000A  2                  S  55          1995</t>
  </si>
  <si>
    <t>Principle and interest : Thomas Jefferson and the problem of debt / Herbert E. Sloan.</t>
  </si>
  <si>
    <t>Sloan, Herbert E.</t>
  </si>
  <si>
    <t>New York : Oxford University Press, 1995.</t>
  </si>
  <si>
    <t>1996-01-16</t>
  </si>
  <si>
    <t>24880903:eng</t>
  </si>
  <si>
    <t>30398396</t>
  </si>
  <si>
    <t>991002334489702656</t>
  </si>
  <si>
    <t>2270638400002656</t>
  </si>
  <si>
    <t>9780195058789</t>
  </si>
  <si>
    <t>32285002116944</t>
  </si>
  <si>
    <t>893591239</t>
  </si>
  <si>
    <t>HJ8115 .T85</t>
  </si>
  <si>
    <t>0                      HJ 8115000T  85</t>
  </si>
  <si>
    <t>The national debt and government credit; factual findings by Paul W. Stewart, Rufus S. Tucker, with the assistance of Carolyn Stetson. A program of action by the Committee on Government Credit.</t>
  </si>
  <si>
    <t>Twentieth Century Fund. Committee on Government Credit.</t>
  </si>
  <si>
    <t>New York, Twentieth Century Fund, 1937.</t>
  </si>
  <si>
    <t>1937</t>
  </si>
  <si>
    <t>1997-07-25</t>
  </si>
  <si>
    <t>1671239:eng</t>
  </si>
  <si>
    <t>665250</t>
  </si>
  <si>
    <t>991003119509702656</t>
  </si>
  <si>
    <t>2272688020002656</t>
  </si>
  <si>
    <t>32285003007092</t>
  </si>
  <si>
    <t>893416060</t>
  </si>
  <si>
    <t>HJ8119 .B67 1987</t>
  </si>
  <si>
    <t>0                      HJ 8119000B  67          1987</t>
  </si>
  <si>
    <t>The economics of federal credit programs / Barry P. Bosworth, Andrew S. Carron, Elisabeth H. Rhyne.</t>
  </si>
  <si>
    <t>Bosworth, Barry, 1942-</t>
  </si>
  <si>
    <t>Washington, D.C. : Brookings Institution, c1987.</t>
  </si>
  <si>
    <t>1994-02-24</t>
  </si>
  <si>
    <t>8409280:eng</t>
  </si>
  <si>
    <t>15109507</t>
  </si>
  <si>
    <t>991000993479702656</t>
  </si>
  <si>
    <t>2270397830002656</t>
  </si>
  <si>
    <t>9780815710370</t>
  </si>
  <si>
    <t>32285001192599</t>
  </si>
  <si>
    <t>893608450</t>
  </si>
  <si>
    <t>HJ8899 .D4 1982</t>
  </si>
  <si>
    <t>0                      HJ 8899000D  4           1982</t>
  </si>
  <si>
    <t>Debt and development / edited by J.C. Sánchez Arnau ; with contributions by Georges Corm ... [et al.].</t>
  </si>
  <si>
    <t>New York, N.Y. : Praeger, 1982.</t>
  </si>
  <si>
    <t>2007-04-06</t>
  </si>
  <si>
    <t>54482983:eng</t>
  </si>
  <si>
    <t>8168875</t>
  </si>
  <si>
    <t>991005210919702656</t>
  </si>
  <si>
    <t>2271837230002656</t>
  </si>
  <si>
    <t>9780030619045</t>
  </si>
  <si>
    <t>32285001090108</t>
  </si>
  <si>
    <t>893326377</t>
  </si>
  <si>
    <t>HJ8899 .H48 2004</t>
  </si>
  <si>
    <t>0                      HJ 8899000H  48          2004</t>
  </si>
  <si>
    <t>The debt threat : how debt is destroying the developing world / Noreena Hertz.</t>
  </si>
  <si>
    <t>Hertz, Noreena.</t>
  </si>
  <si>
    <t>New York : HarperBusiness, c2004.</t>
  </si>
  <si>
    <t>2005-02-14</t>
  </si>
  <si>
    <t>198474697:eng</t>
  </si>
  <si>
    <t>55633673</t>
  </si>
  <si>
    <t>991004458459702656</t>
  </si>
  <si>
    <t>2270549310002656</t>
  </si>
  <si>
    <t>9780060560522</t>
  </si>
  <si>
    <t>32285005025613</t>
  </si>
  <si>
    <t>893782266</t>
  </si>
  <si>
    <t>HJ8899 .R52 2003</t>
  </si>
  <si>
    <t>0                      HJ 8899000R  52          2003</t>
  </si>
  <si>
    <t>Restructuring sovereign debt : the case for ad hoc machinery / Lex Rieffel.</t>
  </si>
  <si>
    <t>Rieffel, Alexis, 1941-</t>
  </si>
  <si>
    <t>Washington, D.C. : Brookings Institution Press, c2003.</t>
  </si>
  <si>
    <t>2003-11-13</t>
  </si>
  <si>
    <t>793071731:eng</t>
  </si>
  <si>
    <t>52602758</t>
  </si>
  <si>
    <t>991004181929702656</t>
  </si>
  <si>
    <t>2263005370002656</t>
  </si>
  <si>
    <t>9780815774464</t>
  </si>
  <si>
    <t>32285004797477</t>
  </si>
  <si>
    <t>893506511</t>
  </si>
  <si>
    <t>HJ9268.S32 M36</t>
  </si>
  <si>
    <t>0                      HJ 9268000S  32                 M  36</t>
  </si>
  <si>
    <t>Reviving cities with tax abatement / Daniel R. Mandelker, Gary Feder, Margaret R. Collins.</t>
  </si>
  <si>
    <t>Mandelker, Daniel R.</t>
  </si>
  <si>
    <t>New Brunswick, N.J. : Rutgers University, Center for Urban Policy Research, 1980.</t>
  </si>
  <si>
    <t>1992-07-21</t>
  </si>
  <si>
    <t>20280204:eng</t>
  </si>
  <si>
    <t>5890170</t>
  </si>
  <si>
    <t>991004894059702656</t>
  </si>
  <si>
    <t>2261998580002656</t>
  </si>
  <si>
    <t>9780882850658</t>
  </si>
  <si>
    <t>32285001192722</t>
  </si>
  <si>
    <t>893895606</t>
  </si>
  <si>
    <t>HJ9733 .I56</t>
  </si>
  <si>
    <t>0                      HJ 9733000I  56</t>
  </si>
  <si>
    <t>Improving the accountability and performance of government : papers by Elmer B. Staats, Rufus E. Miles, Jr., Harvey C. Mansfield, Sr., Louis Fisher, Richard E. Neustadt presented at a seminar in honor of Elmer B. Staats at the Brookings Institution on May 6, 1981/ edited by Bruce L. R. Smith and James D. Carroll.</t>
  </si>
  <si>
    <t>Washington, D.C. : Brookings Institution, c1982.</t>
  </si>
  <si>
    <t>Brookings dialogues on public policy</t>
  </si>
  <si>
    <t>1994-03-02</t>
  </si>
  <si>
    <t>787723984:eng</t>
  </si>
  <si>
    <t>8497474</t>
  </si>
  <si>
    <t>991005252729702656</t>
  </si>
  <si>
    <t>2263815130002656</t>
  </si>
  <si>
    <t>32285001192805</t>
  </si>
  <si>
    <t>893777107</t>
  </si>
  <si>
    <t>HJ9801 .K37</t>
  </si>
  <si>
    <t>0                      HJ 9801000K  37</t>
  </si>
  <si>
    <t>Fund accounting [by] Harry D. Kerrigan.</t>
  </si>
  <si>
    <t>Kerrigan, Harry D.</t>
  </si>
  <si>
    <t>New York, McGraw-Hill [1968, c1969]</t>
  </si>
  <si>
    <t>McGraw-Hill accounting series</t>
  </si>
  <si>
    <t>1998-08-26</t>
  </si>
  <si>
    <t>1345678:eng</t>
  </si>
  <si>
    <t>253213</t>
  </si>
  <si>
    <t>991001957779702656</t>
  </si>
  <si>
    <t>2267096410002656</t>
  </si>
  <si>
    <t>32285003007431</t>
  </si>
  <si>
    <t>893328513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</si>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</sst>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A56F-7294-4CAE-9802-174EB692BC14}">
  <dimension ref="A1:BD205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40.5" customHeight="1" x14ac:dyDescent="0.25"/>
  <cols>
    <col min="1" max="1" width="17.140625" customWidth="1"/>
    <col min="2" max="2" width="17.5703125" customWidth="1"/>
    <col min="3" max="3" width="0" hidden="1" customWidth="1"/>
    <col min="4" max="4" width="50.7109375" customWidth="1"/>
    <col min="6" max="10" width="0" hidden="1" customWidth="1"/>
    <col min="11" max="11" width="15.7109375" customWidth="1"/>
    <col min="12" max="12" width="16.28515625" customWidth="1"/>
    <col min="14" max="17" width="0" hidden="1" customWidth="1"/>
    <col min="20" max="26" width="0" hidden="1" customWidth="1"/>
    <col min="28" max="28" width="0" hidden="1" customWidth="1"/>
    <col min="30" max="30" width="0" hidden="1" customWidth="1"/>
    <col min="31" max="31" width="14.85546875" customWidth="1"/>
    <col min="32" max="41" width="0" hidden="1" customWidth="1"/>
    <col min="42" max="43" width="9.85546875" customWidth="1"/>
    <col min="44" max="44" width="10.28515625" customWidth="1"/>
    <col min="47" max="56" width="0" hidden="1" customWidth="1"/>
  </cols>
  <sheetData>
    <row r="1" spans="1:56" ht="40.5" customHeight="1" x14ac:dyDescent="0.25">
      <c r="A1" s="8" t="s">
        <v>2754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ht="40.5" customHeight="1" x14ac:dyDescent="0.25">
      <c r="A2" s="7" t="s">
        <v>58</v>
      </c>
      <c r="B2" s="2" t="s">
        <v>55</v>
      </c>
      <c r="C2" s="2" t="s">
        <v>56</v>
      </c>
      <c r="D2" s="2" t="s">
        <v>57</v>
      </c>
      <c r="F2" s="3" t="s">
        <v>58</v>
      </c>
      <c r="G2" s="3" t="s">
        <v>59</v>
      </c>
      <c r="H2" s="3" t="s">
        <v>58</v>
      </c>
      <c r="I2" s="3" t="s">
        <v>58</v>
      </c>
      <c r="J2" s="3" t="s">
        <v>60</v>
      </c>
      <c r="K2" s="2" t="s">
        <v>61</v>
      </c>
      <c r="L2" s="2" t="s">
        <v>62</v>
      </c>
      <c r="M2" s="3" t="s">
        <v>63</v>
      </c>
      <c r="N2" s="2" t="s">
        <v>64</v>
      </c>
      <c r="O2" s="3" t="s">
        <v>65</v>
      </c>
      <c r="P2" s="3" t="s">
        <v>66</v>
      </c>
      <c r="R2" s="3" t="s">
        <v>67</v>
      </c>
      <c r="S2" s="4">
        <v>1</v>
      </c>
      <c r="T2" s="4">
        <v>1</v>
      </c>
      <c r="U2" s="5" t="s">
        <v>68</v>
      </c>
      <c r="V2" s="5" t="s">
        <v>68</v>
      </c>
      <c r="W2" s="5" t="s">
        <v>69</v>
      </c>
      <c r="X2" s="5" t="s">
        <v>69</v>
      </c>
      <c r="Y2" s="4">
        <v>1677</v>
      </c>
      <c r="Z2" s="4">
        <v>1584</v>
      </c>
      <c r="AA2" s="4">
        <v>1721</v>
      </c>
      <c r="AB2" s="4">
        <v>8</v>
      </c>
      <c r="AC2" s="4">
        <v>8</v>
      </c>
      <c r="AD2" s="4">
        <v>44</v>
      </c>
      <c r="AE2" s="4">
        <v>45</v>
      </c>
      <c r="AF2" s="4">
        <v>18</v>
      </c>
      <c r="AG2" s="4">
        <v>19</v>
      </c>
      <c r="AH2" s="4">
        <v>7</v>
      </c>
      <c r="AI2" s="4">
        <v>7</v>
      </c>
      <c r="AJ2" s="4">
        <v>24</v>
      </c>
      <c r="AK2" s="4">
        <v>24</v>
      </c>
      <c r="AL2" s="4">
        <v>5</v>
      </c>
      <c r="AM2" s="4">
        <v>5</v>
      </c>
      <c r="AN2" s="4">
        <v>1</v>
      </c>
      <c r="AO2" s="4">
        <v>1</v>
      </c>
      <c r="AP2" s="3" t="s">
        <v>58</v>
      </c>
      <c r="AQ2" s="3" t="s">
        <v>58</v>
      </c>
      <c r="AR2" s="6" t="str">
        <f>HYPERLINK("http://catalog.hathitrust.org/Record/001739532","HathiTrust Record")</f>
        <v>HathiTrust Record</v>
      </c>
      <c r="AS2" s="6" t="str">
        <f>HYPERLINK("https://creighton-primo.hosted.exlibrisgroup.com/primo-explore/search?tab=default_tab&amp;search_scope=EVERYTHING&amp;vid=01CRU&amp;lang=en_US&amp;offset=0&amp;query=any,contains,991003040739702656","Catalog Record")</f>
        <v>Catalog Record</v>
      </c>
      <c r="AT2" s="6" t="str">
        <f>HYPERLINK("http://www.worldcat.org/oclc/602145","WorldCat Record")</f>
        <v>WorldCat Record</v>
      </c>
      <c r="AU2" s="3" t="s">
        <v>70</v>
      </c>
      <c r="AV2" s="3" t="s">
        <v>71</v>
      </c>
      <c r="AW2" s="3" t="s">
        <v>72</v>
      </c>
      <c r="AX2" s="3" t="s">
        <v>72</v>
      </c>
      <c r="AY2" s="3" t="s">
        <v>73</v>
      </c>
      <c r="AZ2" s="3" t="s">
        <v>74</v>
      </c>
      <c r="BC2" s="3" t="s">
        <v>75</v>
      </c>
      <c r="BD2" s="3" t="s">
        <v>76</v>
      </c>
    </row>
    <row r="3" spans="1:56" ht="40.5" customHeight="1" x14ac:dyDescent="0.25">
      <c r="A3" s="7" t="s">
        <v>58</v>
      </c>
      <c r="B3" s="2" t="s">
        <v>77</v>
      </c>
      <c r="C3" s="2" t="s">
        <v>78</v>
      </c>
      <c r="D3" s="2" t="s">
        <v>79</v>
      </c>
      <c r="F3" s="3" t="s">
        <v>58</v>
      </c>
      <c r="G3" s="3" t="s">
        <v>59</v>
      </c>
      <c r="H3" s="3" t="s">
        <v>80</v>
      </c>
      <c r="I3" s="3" t="s">
        <v>58</v>
      </c>
      <c r="J3" s="3" t="s">
        <v>60</v>
      </c>
      <c r="K3" s="2" t="s">
        <v>81</v>
      </c>
      <c r="L3" s="2" t="s">
        <v>82</v>
      </c>
      <c r="M3" s="3" t="s">
        <v>83</v>
      </c>
      <c r="N3" s="2" t="s">
        <v>84</v>
      </c>
      <c r="O3" s="3" t="s">
        <v>65</v>
      </c>
      <c r="P3" s="3" t="s">
        <v>66</v>
      </c>
      <c r="R3" s="3" t="s">
        <v>67</v>
      </c>
      <c r="S3" s="4">
        <v>0</v>
      </c>
      <c r="T3" s="4">
        <v>1</v>
      </c>
      <c r="V3" s="5" t="s">
        <v>85</v>
      </c>
      <c r="W3" s="5" t="s">
        <v>86</v>
      </c>
      <c r="X3" s="5" t="s">
        <v>86</v>
      </c>
      <c r="Y3" s="4">
        <v>705</v>
      </c>
      <c r="Z3" s="4">
        <v>654</v>
      </c>
      <c r="AA3" s="4">
        <v>710</v>
      </c>
      <c r="AB3" s="4">
        <v>5</v>
      </c>
      <c r="AC3" s="4">
        <v>5</v>
      </c>
      <c r="AD3" s="4">
        <v>23</v>
      </c>
      <c r="AE3" s="4">
        <v>27</v>
      </c>
      <c r="AF3" s="4">
        <v>8</v>
      </c>
      <c r="AG3" s="4">
        <v>10</v>
      </c>
      <c r="AH3" s="4">
        <v>6</v>
      </c>
      <c r="AI3" s="4">
        <v>7</v>
      </c>
      <c r="AJ3" s="4">
        <v>12</v>
      </c>
      <c r="AK3" s="4">
        <v>15</v>
      </c>
      <c r="AL3" s="4">
        <v>1</v>
      </c>
      <c r="AM3" s="4">
        <v>1</v>
      </c>
      <c r="AN3" s="4">
        <v>2</v>
      </c>
      <c r="AO3" s="4">
        <v>2</v>
      </c>
      <c r="AP3" s="3" t="s">
        <v>58</v>
      </c>
      <c r="AQ3" s="3" t="s">
        <v>80</v>
      </c>
      <c r="AR3" s="6" t="str">
        <f>HYPERLINK("http://catalog.hathitrust.org/Record/000206054","HathiTrust Record")</f>
        <v>HathiTrust Record</v>
      </c>
      <c r="AS3" s="6" t="str">
        <f>HYPERLINK("https://creighton-primo.hosted.exlibrisgroup.com/primo-explore/search?tab=default_tab&amp;search_scope=EVERYTHING&amp;vid=01CRU&amp;lang=en_US&amp;offset=0&amp;query=any,contains,991001626259702656","Catalog Record")</f>
        <v>Catalog Record</v>
      </c>
      <c r="AT3" s="6" t="str">
        <f>HYPERLINK("http://www.worldcat.org/oclc/9829509","WorldCat Record")</f>
        <v>WorldCat Record</v>
      </c>
      <c r="AU3" s="3" t="s">
        <v>87</v>
      </c>
      <c r="AV3" s="3" t="s">
        <v>88</v>
      </c>
      <c r="AW3" s="3" t="s">
        <v>89</v>
      </c>
      <c r="AX3" s="3" t="s">
        <v>89</v>
      </c>
      <c r="AY3" s="3" t="s">
        <v>90</v>
      </c>
      <c r="AZ3" s="3" t="s">
        <v>74</v>
      </c>
      <c r="BB3" s="3" t="s">
        <v>91</v>
      </c>
      <c r="BC3" s="3" t="s">
        <v>92</v>
      </c>
      <c r="BD3" s="3" t="s">
        <v>93</v>
      </c>
    </row>
    <row r="4" spans="1:56" ht="40.5" customHeight="1" x14ac:dyDescent="0.25">
      <c r="A4" s="7" t="s">
        <v>58</v>
      </c>
      <c r="B4" s="2" t="s">
        <v>94</v>
      </c>
      <c r="C4" s="2" t="s">
        <v>95</v>
      </c>
      <c r="D4" s="2" t="s">
        <v>96</v>
      </c>
      <c r="F4" s="3" t="s">
        <v>58</v>
      </c>
      <c r="G4" s="3" t="s">
        <v>59</v>
      </c>
      <c r="H4" s="3" t="s">
        <v>58</v>
      </c>
      <c r="I4" s="3" t="s">
        <v>58</v>
      </c>
      <c r="J4" s="3" t="s">
        <v>60</v>
      </c>
      <c r="L4" s="2" t="s">
        <v>97</v>
      </c>
      <c r="M4" s="3" t="s">
        <v>98</v>
      </c>
      <c r="O4" s="3" t="s">
        <v>65</v>
      </c>
      <c r="P4" s="3" t="s">
        <v>66</v>
      </c>
      <c r="R4" s="3" t="s">
        <v>67</v>
      </c>
      <c r="S4" s="4">
        <v>1</v>
      </c>
      <c r="T4" s="4">
        <v>1</v>
      </c>
      <c r="U4" s="5" t="s">
        <v>99</v>
      </c>
      <c r="V4" s="5" t="s">
        <v>99</v>
      </c>
      <c r="W4" s="5" t="s">
        <v>99</v>
      </c>
      <c r="X4" s="5" t="s">
        <v>99</v>
      </c>
      <c r="Y4" s="4">
        <v>119</v>
      </c>
      <c r="Z4" s="4">
        <v>101</v>
      </c>
      <c r="AA4" s="4">
        <v>102</v>
      </c>
      <c r="AB4" s="4">
        <v>1</v>
      </c>
      <c r="AC4" s="4">
        <v>1</v>
      </c>
      <c r="AD4" s="4">
        <v>5</v>
      </c>
      <c r="AE4" s="4">
        <v>5</v>
      </c>
      <c r="AF4" s="4">
        <v>1</v>
      </c>
      <c r="AG4" s="4">
        <v>1</v>
      </c>
      <c r="AH4" s="4">
        <v>1</v>
      </c>
      <c r="AI4" s="4">
        <v>1</v>
      </c>
      <c r="AJ4" s="4">
        <v>4</v>
      </c>
      <c r="AK4" s="4">
        <v>4</v>
      </c>
      <c r="AL4" s="4">
        <v>0</v>
      </c>
      <c r="AM4" s="4">
        <v>0</v>
      </c>
      <c r="AN4" s="4">
        <v>0</v>
      </c>
      <c r="AO4" s="4">
        <v>0</v>
      </c>
      <c r="AP4" s="3" t="s">
        <v>58</v>
      </c>
      <c r="AQ4" s="3" t="s">
        <v>58</v>
      </c>
      <c r="AS4" s="6" t="str">
        <f>HYPERLINK("https://creighton-primo.hosted.exlibrisgroup.com/primo-explore/search?tab=default_tab&amp;search_scope=EVERYTHING&amp;vid=01CRU&amp;lang=en_US&amp;offset=0&amp;query=any,contains,991004346709702656","Catalog Record")</f>
        <v>Catalog Record</v>
      </c>
      <c r="AT4" s="6" t="str">
        <f>HYPERLINK("http://www.worldcat.org/oclc/31290698","WorldCat Record")</f>
        <v>WorldCat Record</v>
      </c>
      <c r="AU4" s="3" t="s">
        <v>100</v>
      </c>
      <c r="AV4" s="3" t="s">
        <v>101</v>
      </c>
      <c r="AW4" s="3" t="s">
        <v>102</v>
      </c>
      <c r="AX4" s="3" t="s">
        <v>102</v>
      </c>
      <c r="AY4" s="3" t="s">
        <v>103</v>
      </c>
      <c r="AZ4" s="3" t="s">
        <v>74</v>
      </c>
      <c r="BB4" s="3" t="s">
        <v>104</v>
      </c>
      <c r="BC4" s="3" t="s">
        <v>105</v>
      </c>
      <c r="BD4" s="3" t="s">
        <v>106</v>
      </c>
    </row>
    <row r="5" spans="1:56" ht="40.5" customHeight="1" x14ac:dyDescent="0.25">
      <c r="A5" s="7" t="s">
        <v>58</v>
      </c>
      <c r="B5" s="2" t="s">
        <v>107</v>
      </c>
      <c r="C5" s="2" t="s">
        <v>108</v>
      </c>
      <c r="D5" s="2" t="s">
        <v>109</v>
      </c>
      <c r="F5" s="3" t="s">
        <v>58</v>
      </c>
      <c r="G5" s="3" t="s">
        <v>59</v>
      </c>
      <c r="H5" s="3" t="s">
        <v>58</v>
      </c>
      <c r="I5" s="3" t="s">
        <v>58</v>
      </c>
      <c r="J5" s="3" t="s">
        <v>60</v>
      </c>
      <c r="K5" s="2" t="s">
        <v>110</v>
      </c>
      <c r="L5" s="2" t="s">
        <v>111</v>
      </c>
      <c r="M5" s="3" t="s">
        <v>63</v>
      </c>
      <c r="O5" s="3" t="s">
        <v>65</v>
      </c>
      <c r="P5" s="3" t="s">
        <v>112</v>
      </c>
      <c r="R5" s="3" t="s">
        <v>67</v>
      </c>
      <c r="S5" s="4">
        <v>1</v>
      </c>
      <c r="T5" s="4">
        <v>1</v>
      </c>
      <c r="U5" s="5" t="s">
        <v>113</v>
      </c>
      <c r="V5" s="5" t="s">
        <v>113</v>
      </c>
      <c r="W5" s="5" t="s">
        <v>114</v>
      </c>
      <c r="X5" s="5" t="s">
        <v>114</v>
      </c>
      <c r="Y5" s="4">
        <v>351</v>
      </c>
      <c r="Z5" s="4">
        <v>293</v>
      </c>
      <c r="AA5" s="4">
        <v>342</v>
      </c>
      <c r="AB5" s="4">
        <v>3</v>
      </c>
      <c r="AC5" s="4">
        <v>3</v>
      </c>
      <c r="AD5" s="4">
        <v>12</v>
      </c>
      <c r="AE5" s="4">
        <v>17</v>
      </c>
      <c r="AF5" s="4">
        <v>3</v>
      </c>
      <c r="AG5" s="4">
        <v>3</v>
      </c>
      <c r="AH5" s="4">
        <v>2</v>
      </c>
      <c r="AI5" s="4">
        <v>3</v>
      </c>
      <c r="AJ5" s="4">
        <v>7</v>
      </c>
      <c r="AK5" s="4">
        <v>7</v>
      </c>
      <c r="AL5" s="4">
        <v>2</v>
      </c>
      <c r="AM5" s="4">
        <v>2</v>
      </c>
      <c r="AN5" s="4">
        <v>2</v>
      </c>
      <c r="AO5" s="4">
        <v>6</v>
      </c>
      <c r="AP5" s="3" t="s">
        <v>80</v>
      </c>
      <c r="AQ5" s="3" t="s">
        <v>58</v>
      </c>
      <c r="AR5" s="6" t="str">
        <f>HYPERLINK("http://catalog.hathitrust.org/Record/001118787","HathiTrust Record")</f>
        <v>HathiTrust Record</v>
      </c>
      <c r="AS5" s="6" t="str">
        <f>HYPERLINK("https://creighton-primo.hosted.exlibrisgroup.com/primo-explore/search?tab=default_tab&amp;search_scope=EVERYTHING&amp;vid=01CRU&amp;lang=en_US&amp;offset=0&amp;query=any,contains,991001931189702656","Catalog Record")</f>
        <v>Catalog Record</v>
      </c>
      <c r="AT5" s="6" t="str">
        <f>HYPERLINK("http://www.worldcat.org/oclc/248879","WorldCat Record")</f>
        <v>WorldCat Record</v>
      </c>
      <c r="AU5" s="3" t="s">
        <v>115</v>
      </c>
      <c r="AV5" s="3" t="s">
        <v>116</v>
      </c>
      <c r="AW5" s="3" t="s">
        <v>117</v>
      </c>
      <c r="AX5" s="3" t="s">
        <v>117</v>
      </c>
      <c r="AY5" s="3" t="s">
        <v>118</v>
      </c>
      <c r="AZ5" s="3" t="s">
        <v>74</v>
      </c>
      <c r="BC5" s="3" t="s">
        <v>119</v>
      </c>
      <c r="BD5" s="3" t="s">
        <v>120</v>
      </c>
    </row>
    <row r="6" spans="1:56" ht="40.5" customHeight="1" x14ac:dyDescent="0.25">
      <c r="A6" s="7" t="s">
        <v>58</v>
      </c>
      <c r="B6" s="2" t="s">
        <v>121</v>
      </c>
      <c r="C6" s="2" t="s">
        <v>122</v>
      </c>
      <c r="D6" s="2" t="s">
        <v>123</v>
      </c>
      <c r="F6" s="3" t="s">
        <v>58</v>
      </c>
      <c r="G6" s="3" t="s">
        <v>59</v>
      </c>
      <c r="H6" s="3" t="s">
        <v>58</v>
      </c>
      <c r="I6" s="3" t="s">
        <v>58</v>
      </c>
      <c r="J6" s="3" t="s">
        <v>60</v>
      </c>
      <c r="K6" s="2" t="s">
        <v>124</v>
      </c>
      <c r="L6" s="2" t="s">
        <v>125</v>
      </c>
      <c r="M6" s="3" t="s">
        <v>126</v>
      </c>
      <c r="O6" s="3" t="s">
        <v>65</v>
      </c>
      <c r="P6" s="3" t="s">
        <v>112</v>
      </c>
      <c r="Q6" s="2" t="s">
        <v>127</v>
      </c>
      <c r="R6" s="3" t="s">
        <v>67</v>
      </c>
      <c r="S6" s="4">
        <v>1</v>
      </c>
      <c r="T6" s="4">
        <v>1</v>
      </c>
      <c r="U6" s="5" t="s">
        <v>113</v>
      </c>
      <c r="V6" s="5" t="s">
        <v>113</v>
      </c>
      <c r="W6" s="5" t="s">
        <v>114</v>
      </c>
      <c r="X6" s="5" t="s">
        <v>114</v>
      </c>
      <c r="Y6" s="4">
        <v>170</v>
      </c>
      <c r="Z6" s="4">
        <v>153</v>
      </c>
      <c r="AA6" s="4">
        <v>155</v>
      </c>
      <c r="AB6" s="4">
        <v>2</v>
      </c>
      <c r="AC6" s="4">
        <v>2</v>
      </c>
      <c r="AD6" s="4">
        <v>5</v>
      </c>
      <c r="AE6" s="4">
        <v>5</v>
      </c>
      <c r="AF6" s="4">
        <v>0</v>
      </c>
      <c r="AG6" s="4">
        <v>0</v>
      </c>
      <c r="AH6" s="4">
        <v>2</v>
      </c>
      <c r="AI6" s="4">
        <v>2</v>
      </c>
      <c r="AJ6" s="4">
        <v>3</v>
      </c>
      <c r="AK6" s="4">
        <v>3</v>
      </c>
      <c r="AL6" s="4">
        <v>1</v>
      </c>
      <c r="AM6" s="4">
        <v>1</v>
      </c>
      <c r="AN6" s="4">
        <v>0</v>
      </c>
      <c r="AO6" s="4">
        <v>0</v>
      </c>
      <c r="AP6" s="3" t="s">
        <v>58</v>
      </c>
      <c r="AQ6" s="3" t="s">
        <v>80</v>
      </c>
      <c r="AR6" s="6" t="str">
        <f>HYPERLINK("http://catalog.hathitrust.org/Record/006124395","HathiTrust Record")</f>
        <v>HathiTrust Record</v>
      </c>
      <c r="AS6" s="6" t="str">
        <f>HYPERLINK("https://creighton-primo.hosted.exlibrisgroup.com/primo-explore/search?tab=default_tab&amp;search_scope=EVERYTHING&amp;vid=01CRU&amp;lang=en_US&amp;offset=0&amp;query=any,contains,991001942709702656","Catalog Record")</f>
        <v>Catalog Record</v>
      </c>
      <c r="AT6" s="6" t="str">
        <f>HYPERLINK("http://www.worldcat.org/oclc/250801","WorldCat Record")</f>
        <v>WorldCat Record</v>
      </c>
      <c r="AU6" s="3" t="s">
        <v>128</v>
      </c>
      <c r="AV6" s="3" t="s">
        <v>129</v>
      </c>
      <c r="AW6" s="3" t="s">
        <v>130</v>
      </c>
      <c r="AX6" s="3" t="s">
        <v>130</v>
      </c>
      <c r="AY6" s="3" t="s">
        <v>131</v>
      </c>
      <c r="AZ6" s="3" t="s">
        <v>74</v>
      </c>
      <c r="BC6" s="3" t="s">
        <v>132</v>
      </c>
      <c r="BD6" s="3" t="s">
        <v>133</v>
      </c>
    </row>
    <row r="7" spans="1:56" ht="40.5" customHeight="1" x14ac:dyDescent="0.25">
      <c r="A7" s="7" t="s">
        <v>58</v>
      </c>
      <c r="B7" s="2" t="s">
        <v>134</v>
      </c>
      <c r="C7" s="2" t="s">
        <v>135</v>
      </c>
      <c r="D7" s="2" t="s">
        <v>136</v>
      </c>
      <c r="F7" s="3" t="s">
        <v>58</v>
      </c>
      <c r="G7" s="3" t="s">
        <v>59</v>
      </c>
      <c r="H7" s="3" t="s">
        <v>58</v>
      </c>
      <c r="I7" s="3" t="s">
        <v>58</v>
      </c>
      <c r="J7" s="3" t="s">
        <v>60</v>
      </c>
      <c r="K7" s="2" t="s">
        <v>137</v>
      </c>
      <c r="L7" s="2" t="s">
        <v>138</v>
      </c>
      <c r="M7" s="3" t="s">
        <v>139</v>
      </c>
      <c r="O7" s="3" t="s">
        <v>65</v>
      </c>
      <c r="P7" s="3" t="s">
        <v>66</v>
      </c>
      <c r="R7" s="3" t="s">
        <v>67</v>
      </c>
      <c r="S7" s="4">
        <v>1</v>
      </c>
      <c r="T7" s="4">
        <v>1</v>
      </c>
      <c r="U7" s="5" t="s">
        <v>140</v>
      </c>
      <c r="V7" s="5" t="s">
        <v>140</v>
      </c>
      <c r="W7" s="5" t="s">
        <v>141</v>
      </c>
      <c r="X7" s="5" t="s">
        <v>141</v>
      </c>
      <c r="Y7" s="4">
        <v>158</v>
      </c>
      <c r="Z7" s="4">
        <v>119</v>
      </c>
      <c r="AA7" s="4">
        <v>119</v>
      </c>
      <c r="AB7" s="4">
        <v>2</v>
      </c>
      <c r="AC7" s="4">
        <v>2</v>
      </c>
      <c r="AD7" s="4">
        <v>5</v>
      </c>
      <c r="AE7" s="4">
        <v>5</v>
      </c>
      <c r="AF7" s="4">
        <v>2</v>
      </c>
      <c r="AG7" s="4">
        <v>2</v>
      </c>
      <c r="AH7" s="4">
        <v>1</v>
      </c>
      <c r="AI7" s="4">
        <v>1</v>
      </c>
      <c r="AJ7" s="4">
        <v>4</v>
      </c>
      <c r="AK7" s="4">
        <v>4</v>
      </c>
      <c r="AL7" s="4">
        <v>1</v>
      </c>
      <c r="AM7" s="4">
        <v>1</v>
      </c>
      <c r="AN7" s="4">
        <v>0</v>
      </c>
      <c r="AO7" s="4">
        <v>0</v>
      </c>
      <c r="AP7" s="3" t="s">
        <v>58</v>
      </c>
      <c r="AQ7" s="3" t="s">
        <v>58</v>
      </c>
      <c r="AS7" s="6" t="str">
        <f>HYPERLINK("https://creighton-primo.hosted.exlibrisgroup.com/primo-explore/search?tab=default_tab&amp;search_scope=EVERYTHING&amp;vid=01CRU&amp;lang=en_US&amp;offset=0&amp;query=any,contains,991001210189702656","Catalog Record")</f>
        <v>Catalog Record</v>
      </c>
      <c r="AT7" s="6" t="str">
        <f>HYPERLINK("http://www.worldcat.org/oclc/17384724","WorldCat Record")</f>
        <v>WorldCat Record</v>
      </c>
      <c r="AU7" s="3" t="s">
        <v>142</v>
      </c>
      <c r="AV7" s="3" t="s">
        <v>143</v>
      </c>
      <c r="AW7" s="3" t="s">
        <v>144</v>
      </c>
      <c r="AX7" s="3" t="s">
        <v>144</v>
      </c>
      <c r="AY7" s="3" t="s">
        <v>145</v>
      </c>
      <c r="AZ7" s="3" t="s">
        <v>74</v>
      </c>
      <c r="BB7" s="3" t="s">
        <v>146</v>
      </c>
      <c r="BC7" s="3" t="s">
        <v>147</v>
      </c>
      <c r="BD7" s="3" t="s">
        <v>148</v>
      </c>
    </row>
    <row r="8" spans="1:56" ht="40.5" customHeight="1" x14ac:dyDescent="0.25">
      <c r="A8" s="7" t="s">
        <v>58</v>
      </c>
      <c r="B8" s="2" t="s">
        <v>149</v>
      </c>
      <c r="C8" s="2" t="s">
        <v>150</v>
      </c>
      <c r="D8" s="2" t="s">
        <v>151</v>
      </c>
      <c r="F8" s="3" t="s">
        <v>58</v>
      </c>
      <c r="G8" s="3" t="s">
        <v>59</v>
      </c>
      <c r="H8" s="3" t="s">
        <v>58</v>
      </c>
      <c r="I8" s="3" t="s">
        <v>58</v>
      </c>
      <c r="J8" s="3" t="s">
        <v>60</v>
      </c>
      <c r="K8" s="2" t="s">
        <v>152</v>
      </c>
      <c r="L8" s="2" t="s">
        <v>153</v>
      </c>
      <c r="M8" s="3" t="s">
        <v>154</v>
      </c>
      <c r="O8" s="3" t="s">
        <v>65</v>
      </c>
      <c r="P8" s="3" t="s">
        <v>155</v>
      </c>
      <c r="R8" s="3" t="s">
        <v>67</v>
      </c>
      <c r="S8" s="4">
        <v>1</v>
      </c>
      <c r="T8" s="4">
        <v>1</v>
      </c>
      <c r="U8" s="5" t="s">
        <v>156</v>
      </c>
      <c r="V8" s="5" t="s">
        <v>156</v>
      </c>
      <c r="W8" s="5" t="s">
        <v>114</v>
      </c>
      <c r="X8" s="5" t="s">
        <v>114</v>
      </c>
      <c r="Y8" s="4">
        <v>143</v>
      </c>
      <c r="Z8" s="4">
        <v>126</v>
      </c>
      <c r="AA8" s="4">
        <v>126</v>
      </c>
      <c r="AB8" s="4">
        <v>2</v>
      </c>
      <c r="AC8" s="4">
        <v>2</v>
      </c>
      <c r="AD8" s="4">
        <v>4</v>
      </c>
      <c r="AE8" s="4">
        <v>4</v>
      </c>
      <c r="AF8" s="4">
        <v>1</v>
      </c>
      <c r="AG8" s="4">
        <v>1</v>
      </c>
      <c r="AH8" s="4">
        <v>0</v>
      </c>
      <c r="AI8" s="4">
        <v>0</v>
      </c>
      <c r="AJ8" s="4">
        <v>3</v>
      </c>
      <c r="AK8" s="4">
        <v>3</v>
      </c>
      <c r="AL8" s="4">
        <v>1</v>
      </c>
      <c r="AM8" s="4">
        <v>1</v>
      </c>
      <c r="AN8" s="4">
        <v>0</v>
      </c>
      <c r="AO8" s="4">
        <v>0</v>
      </c>
      <c r="AP8" s="3" t="s">
        <v>58</v>
      </c>
      <c r="AQ8" s="3" t="s">
        <v>58</v>
      </c>
      <c r="AS8" s="6" t="str">
        <f>HYPERLINK("https://creighton-primo.hosted.exlibrisgroup.com/primo-explore/search?tab=default_tab&amp;search_scope=EVERYTHING&amp;vid=01CRU&amp;lang=en_US&amp;offset=0&amp;query=any,contains,991002724729702656","Catalog Record")</f>
        <v>Catalog Record</v>
      </c>
      <c r="AT8" s="6" t="str">
        <f>HYPERLINK("http://www.worldcat.org/oclc/413976","WorldCat Record")</f>
        <v>WorldCat Record</v>
      </c>
      <c r="AU8" s="3" t="s">
        <v>157</v>
      </c>
      <c r="AV8" s="3" t="s">
        <v>158</v>
      </c>
      <c r="AW8" s="3" t="s">
        <v>159</v>
      </c>
      <c r="AX8" s="3" t="s">
        <v>159</v>
      </c>
      <c r="AY8" s="3" t="s">
        <v>160</v>
      </c>
      <c r="AZ8" s="3" t="s">
        <v>74</v>
      </c>
      <c r="BC8" s="3" t="s">
        <v>161</v>
      </c>
      <c r="BD8" s="3" t="s">
        <v>162</v>
      </c>
    </row>
    <row r="9" spans="1:56" ht="40.5" customHeight="1" x14ac:dyDescent="0.25">
      <c r="A9" s="7" t="s">
        <v>58</v>
      </c>
      <c r="B9" s="2" t="s">
        <v>163</v>
      </c>
      <c r="C9" s="2" t="s">
        <v>164</v>
      </c>
      <c r="D9" s="2" t="s">
        <v>165</v>
      </c>
      <c r="F9" s="3" t="s">
        <v>58</v>
      </c>
      <c r="G9" s="3" t="s">
        <v>59</v>
      </c>
      <c r="H9" s="3" t="s">
        <v>58</v>
      </c>
      <c r="I9" s="3" t="s">
        <v>58</v>
      </c>
      <c r="J9" s="3" t="s">
        <v>60</v>
      </c>
      <c r="K9" s="2" t="s">
        <v>166</v>
      </c>
      <c r="L9" s="2" t="s">
        <v>167</v>
      </c>
      <c r="M9" s="3" t="s">
        <v>168</v>
      </c>
      <c r="O9" s="3" t="s">
        <v>65</v>
      </c>
      <c r="P9" s="3" t="s">
        <v>169</v>
      </c>
      <c r="Q9" s="2" t="s">
        <v>170</v>
      </c>
      <c r="R9" s="3" t="s">
        <v>67</v>
      </c>
      <c r="S9" s="4">
        <v>1</v>
      </c>
      <c r="T9" s="4">
        <v>1</v>
      </c>
      <c r="U9" s="5" t="s">
        <v>171</v>
      </c>
      <c r="V9" s="5" t="s">
        <v>171</v>
      </c>
      <c r="W9" s="5" t="s">
        <v>141</v>
      </c>
      <c r="X9" s="5" t="s">
        <v>141</v>
      </c>
      <c r="Y9" s="4">
        <v>246</v>
      </c>
      <c r="Z9" s="4">
        <v>227</v>
      </c>
      <c r="AA9" s="4">
        <v>243</v>
      </c>
      <c r="AB9" s="4">
        <v>2</v>
      </c>
      <c r="AC9" s="4">
        <v>2</v>
      </c>
      <c r="AD9" s="4">
        <v>10</v>
      </c>
      <c r="AE9" s="4">
        <v>11</v>
      </c>
      <c r="AF9" s="4">
        <v>3</v>
      </c>
      <c r="AG9" s="4">
        <v>3</v>
      </c>
      <c r="AH9" s="4">
        <v>2</v>
      </c>
      <c r="AI9" s="4">
        <v>3</v>
      </c>
      <c r="AJ9" s="4">
        <v>7</v>
      </c>
      <c r="AK9" s="4">
        <v>8</v>
      </c>
      <c r="AL9" s="4">
        <v>1</v>
      </c>
      <c r="AM9" s="4">
        <v>1</v>
      </c>
      <c r="AN9" s="4">
        <v>0</v>
      </c>
      <c r="AO9" s="4">
        <v>0</v>
      </c>
      <c r="AP9" s="3" t="s">
        <v>58</v>
      </c>
      <c r="AQ9" s="3" t="s">
        <v>58</v>
      </c>
      <c r="AS9" s="6" t="str">
        <f>HYPERLINK("https://creighton-primo.hosted.exlibrisgroup.com/primo-explore/search?tab=default_tab&amp;search_scope=EVERYTHING&amp;vid=01CRU&amp;lang=en_US&amp;offset=0&amp;query=any,contains,991001156199702656","Catalog Record")</f>
        <v>Catalog Record</v>
      </c>
      <c r="AT9" s="6" t="str">
        <f>HYPERLINK("http://www.worldcat.org/oclc/21229825","WorldCat Record")</f>
        <v>WorldCat Record</v>
      </c>
      <c r="AU9" s="3" t="s">
        <v>172</v>
      </c>
      <c r="AV9" s="3" t="s">
        <v>173</v>
      </c>
      <c r="AW9" s="3" t="s">
        <v>174</v>
      </c>
      <c r="AX9" s="3" t="s">
        <v>174</v>
      </c>
      <c r="AY9" s="3" t="s">
        <v>175</v>
      </c>
      <c r="AZ9" s="3" t="s">
        <v>74</v>
      </c>
      <c r="BB9" s="3" t="s">
        <v>176</v>
      </c>
      <c r="BC9" s="3" t="s">
        <v>177</v>
      </c>
      <c r="BD9" s="3" t="s">
        <v>178</v>
      </c>
    </row>
    <row r="10" spans="1:56" ht="40.5" customHeight="1" x14ac:dyDescent="0.25">
      <c r="A10" s="7" t="s">
        <v>58</v>
      </c>
      <c r="B10" s="2" t="s">
        <v>179</v>
      </c>
      <c r="C10" s="2" t="s">
        <v>180</v>
      </c>
      <c r="D10" s="2" t="s">
        <v>181</v>
      </c>
      <c r="F10" s="3" t="s">
        <v>58</v>
      </c>
      <c r="G10" s="3" t="s">
        <v>59</v>
      </c>
      <c r="H10" s="3" t="s">
        <v>58</v>
      </c>
      <c r="I10" s="3" t="s">
        <v>58</v>
      </c>
      <c r="J10" s="3" t="s">
        <v>60</v>
      </c>
      <c r="K10" s="2" t="s">
        <v>182</v>
      </c>
      <c r="L10" s="2" t="s">
        <v>183</v>
      </c>
      <c r="M10" s="3" t="s">
        <v>154</v>
      </c>
      <c r="O10" s="3" t="s">
        <v>65</v>
      </c>
      <c r="P10" s="3" t="s">
        <v>66</v>
      </c>
      <c r="R10" s="3" t="s">
        <v>67</v>
      </c>
      <c r="S10" s="4">
        <v>1</v>
      </c>
      <c r="T10" s="4">
        <v>1</v>
      </c>
      <c r="U10" s="5" t="s">
        <v>184</v>
      </c>
      <c r="V10" s="5" t="s">
        <v>184</v>
      </c>
      <c r="W10" s="5" t="s">
        <v>114</v>
      </c>
      <c r="X10" s="5" t="s">
        <v>114</v>
      </c>
      <c r="Y10" s="4">
        <v>312</v>
      </c>
      <c r="Z10" s="4">
        <v>223</v>
      </c>
      <c r="AA10" s="4">
        <v>230</v>
      </c>
      <c r="AB10" s="4">
        <v>2</v>
      </c>
      <c r="AC10" s="4">
        <v>2</v>
      </c>
      <c r="AD10" s="4">
        <v>5</v>
      </c>
      <c r="AE10" s="4">
        <v>5</v>
      </c>
      <c r="AF10" s="4">
        <v>1</v>
      </c>
      <c r="AG10" s="4">
        <v>1</v>
      </c>
      <c r="AH10" s="4">
        <v>1</v>
      </c>
      <c r="AI10" s="4">
        <v>1</v>
      </c>
      <c r="AJ10" s="4">
        <v>3</v>
      </c>
      <c r="AK10" s="4">
        <v>3</v>
      </c>
      <c r="AL10" s="4">
        <v>1</v>
      </c>
      <c r="AM10" s="4">
        <v>1</v>
      </c>
      <c r="AN10" s="4">
        <v>0</v>
      </c>
      <c r="AO10" s="4">
        <v>0</v>
      </c>
      <c r="AP10" s="3" t="s">
        <v>58</v>
      </c>
      <c r="AQ10" s="3" t="s">
        <v>58</v>
      </c>
      <c r="AS10" s="6" t="str">
        <f>HYPERLINK("https://creighton-primo.hosted.exlibrisgroup.com/primo-explore/search?tab=default_tab&amp;search_scope=EVERYTHING&amp;vid=01CRU&amp;lang=en_US&amp;offset=0&amp;query=any,contains,991000857969702656","Catalog Record")</f>
        <v>Catalog Record</v>
      </c>
      <c r="AT10" s="6" t="str">
        <f>HYPERLINK("http://www.worldcat.org/oclc/149855","WorldCat Record")</f>
        <v>WorldCat Record</v>
      </c>
      <c r="AU10" s="3" t="s">
        <v>185</v>
      </c>
      <c r="AV10" s="3" t="s">
        <v>186</v>
      </c>
      <c r="AW10" s="3" t="s">
        <v>187</v>
      </c>
      <c r="AX10" s="3" t="s">
        <v>187</v>
      </c>
      <c r="AY10" s="3" t="s">
        <v>188</v>
      </c>
      <c r="AZ10" s="3" t="s">
        <v>74</v>
      </c>
      <c r="BB10" s="3" t="s">
        <v>189</v>
      </c>
      <c r="BC10" s="3" t="s">
        <v>190</v>
      </c>
      <c r="BD10" s="3" t="s">
        <v>191</v>
      </c>
    </row>
    <row r="11" spans="1:56" ht="40.5" customHeight="1" x14ac:dyDescent="0.25">
      <c r="A11" s="7" t="s">
        <v>58</v>
      </c>
      <c r="B11" s="2" t="s">
        <v>192</v>
      </c>
      <c r="C11" s="2" t="s">
        <v>193</v>
      </c>
      <c r="D11" s="2" t="s">
        <v>194</v>
      </c>
      <c r="F11" s="3" t="s">
        <v>58</v>
      </c>
      <c r="G11" s="3" t="s">
        <v>59</v>
      </c>
      <c r="H11" s="3" t="s">
        <v>58</v>
      </c>
      <c r="I11" s="3" t="s">
        <v>58</v>
      </c>
      <c r="J11" s="3" t="s">
        <v>60</v>
      </c>
      <c r="L11" s="2" t="s">
        <v>195</v>
      </c>
      <c r="M11" s="3" t="s">
        <v>196</v>
      </c>
      <c r="N11" s="2" t="s">
        <v>197</v>
      </c>
      <c r="O11" s="3" t="s">
        <v>65</v>
      </c>
      <c r="P11" s="3" t="s">
        <v>198</v>
      </c>
      <c r="R11" s="3" t="s">
        <v>67</v>
      </c>
      <c r="S11" s="4">
        <v>1</v>
      </c>
      <c r="T11" s="4">
        <v>1</v>
      </c>
      <c r="U11" s="5" t="s">
        <v>199</v>
      </c>
      <c r="V11" s="5" t="s">
        <v>199</v>
      </c>
      <c r="W11" s="5" t="s">
        <v>199</v>
      </c>
      <c r="X11" s="5" t="s">
        <v>199</v>
      </c>
      <c r="Y11" s="4">
        <v>111</v>
      </c>
      <c r="Z11" s="4">
        <v>77</v>
      </c>
      <c r="AA11" s="4">
        <v>126</v>
      </c>
      <c r="AB11" s="4">
        <v>1</v>
      </c>
      <c r="AC11" s="4">
        <v>1</v>
      </c>
      <c r="AD11" s="4">
        <v>2</v>
      </c>
      <c r="AE11" s="4">
        <v>4</v>
      </c>
      <c r="AF11" s="4">
        <v>0</v>
      </c>
      <c r="AG11" s="4">
        <v>1</v>
      </c>
      <c r="AH11" s="4">
        <v>1</v>
      </c>
      <c r="AI11" s="4">
        <v>2</v>
      </c>
      <c r="AJ11" s="4">
        <v>1</v>
      </c>
      <c r="AK11" s="4">
        <v>1</v>
      </c>
      <c r="AL11" s="4">
        <v>0</v>
      </c>
      <c r="AM11" s="4">
        <v>0</v>
      </c>
      <c r="AN11" s="4">
        <v>0</v>
      </c>
      <c r="AO11" s="4">
        <v>0</v>
      </c>
      <c r="AP11" s="3" t="s">
        <v>58</v>
      </c>
      <c r="AQ11" s="3" t="s">
        <v>58</v>
      </c>
      <c r="AS11" s="6" t="str">
        <f>HYPERLINK("https://creighton-primo.hosted.exlibrisgroup.com/primo-explore/search?tab=default_tab&amp;search_scope=EVERYTHING&amp;vid=01CRU&amp;lang=en_US&amp;offset=0&amp;query=any,contains,991003292969702656","Catalog Record")</f>
        <v>Catalog Record</v>
      </c>
      <c r="AT11" s="6" t="str">
        <f>HYPERLINK("http://www.worldcat.org/oclc/40964959","WorldCat Record")</f>
        <v>WorldCat Record</v>
      </c>
      <c r="AU11" s="3" t="s">
        <v>200</v>
      </c>
      <c r="AV11" s="3" t="s">
        <v>201</v>
      </c>
      <c r="AW11" s="3" t="s">
        <v>202</v>
      </c>
      <c r="AX11" s="3" t="s">
        <v>202</v>
      </c>
      <c r="AY11" s="3" t="s">
        <v>203</v>
      </c>
      <c r="AZ11" s="3" t="s">
        <v>74</v>
      </c>
      <c r="BB11" s="3" t="s">
        <v>204</v>
      </c>
      <c r="BC11" s="3" t="s">
        <v>205</v>
      </c>
      <c r="BD11" s="3" t="s">
        <v>206</v>
      </c>
    </row>
    <row r="12" spans="1:56" ht="40.5" customHeight="1" x14ac:dyDescent="0.25">
      <c r="A12" s="7" t="s">
        <v>58</v>
      </c>
      <c r="B12" s="2" t="s">
        <v>207</v>
      </c>
      <c r="C12" s="2" t="s">
        <v>208</v>
      </c>
      <c r="D12" s="2" t="s">
        <v>209</v>
      </c>
      <c r="F12" s="3" t="s">
        <v>58</v>
      </c>
      <c r="G12" s="3" t="s">
        <v>59</v>
      </c>
      <c r="H12" s="3" t="s">
        <v>58</v>
      </c>
      <c r="I12" s="3" t="s">
        <v>58</v>
      </c>
      <c r="J12" s="3" t="s">
        <v>60</v>
      </c>
      <c r="K12" s="2" t="s">
        <v>210</v>
      </c>
      <c r="L12" s="2" t="s">
        <v>211</v>
      </c>
      <c r="M12" s="3" t="s">
        <v>212</v>
      </c>
      <c r="N12" s="2" t="s">
        <v>213</v>
      </c>
      <c r="O12" s="3" t="s">
        <v>65</v>
      </c>
      <c r="P12" s="3" t="s">
        <v>214</v>
      </c>
      <c r="R12" s="3" t="s">
        <v>67</v>
      </c>
      <c r="S12" s="4">
        <v>1</v>
      </c>
      <c r="T12" s="4">
        <v>1</v>
      </c>
      <c r="U12" s="5" t="s">
        <v>215</v>
      </c>
      <c r="V12" s="5" t="s">
        <v>215</v>
      </c>
      <c r="W12" s="5" t="s">
        <v>216</v>
      </c>
      <c r="X12" s="5" t="s">
        <v>216</v>
      </c>
      <c r="Y12" s="4">
        <v>319</v>
      </c>
      <c r="Z12" s="4">
        <v>259</v>
      </c>
      <c r="AA12" s="4">
        <v>263</v>
      </c>
      <c r="AB12" s="4">
        <v>2</v>
      </c>
      <c r="AC12" s="4">
        <v>2</v>
      </c>
      <c r="AD12" s="4">
        <v>14</v>
      </c>
      <c r="AE12" s="4">
        <v>14</v>
      </c>
      <c r="AF12" s="4">
        <v>6</v>
      </c>
      <c r="AG12" s="4">
        <v>6</v>
      </c>
      <c r="AH12" s="4">
        <v>3</v>
      </c>
      <c r="AI12" s="4">
        <v>3</v>
      </c>
      <c r="AJ12" s="4">
        <v>7</v>
      </c>
      <c r="AK12" s="4">
        <v>7</v>
      </c>
      <c r="AL12" s="4">
        <v>1</v>
      </c>
      <c r="AM12" s="4">
        <v>1</v>
      </c>
      <c r="AN12" s="4">
        <v>0</v>
      </c>
      <c r="AO12" s="4">
        <v>0</v>
      </c>
      <c r="AP12" s="3" t="s">
        <v>58</v>
      </c>
      <c r="AQ12" s="3" t="s">
        <v>80</v>
      </c>
      <c r="AR12" s="6" t="str">
        <f>HYPERLINK("http://catalog.hathitrust.org/Record/004494504","HathiTrust Record")</f>
        <v>HathiTrust Record</v>
      </c>
      <c r="AS12" s="6" t="str">
        <f>HYPERLINK("https://creighton-primo.hosted.exlibrisgroup.com/primo-explore/search?tab=default_tab&amp;search_scope=EVERYTHING&amp;vid=01CRU&amp;lang=en_US&amp;offset=0&amp;query=any,contains,991001926929702656","Catalog Record")</f>
        <v>Catalog Record</v>
      </c>
      <c r="AT12" s="6" t="str">
        <f>HYPERLINK("http://www.worldcat.org/oclc/247042","WorldCat Record")</f>
        <v>WorldCat Record</v>
      </c>
      <c r="AU12" s="3" t="s">
        <v>217</v>
      </c>
      <c r="AV12" s="3" t="s">
        <v>218</v>
      </c>
      <c r="AW12" s="3" t="s">
        <v>219</v>
      </c>
      <c r="AX12" s="3" t="s">
        <v>219</v>
      </c>
      <c r="AY12" s="3" t="s">
        <v>220</v>
      </c>
      <c r="AZ12" s="3" t="s">
        <v>74</v>
      </c>
      <c r="BC12" s="3" t="s">
        <v>221</v>
      </c>
      <c r="BD12" s="3" t="s">
        <v>222</v>
      </c>
    </row>
    <row r="13" spans="1:56" ht="40.5" customHeight="1" x14ac:dyDescent="0.25">
      <c r="A13" s="7" t="s">
        <v>58</v>
      </c>
      <c r="B13" s="2" t="s">
        <v>223</v>
      </c>
      <c r="C13" s="2" t="s">
        <v>224</v>
      </c>
      <c r="D13" s="2" t="s">
        <v>225</v>
      </c>
      <c r="F13" s="3" t="s">
        <v>58</v>
      </c>
      <c r="G13" s="3" t="s">
        <v>59</v>
      </c>
      <c r="H13" s="3" t="s">
        <v>58</v>
      </c>
      <c r="I13" s="3" t="s">
        <v>58</v>
      </c>
      <c r="J13" s="3" t="s">
        <v>60</v>
      </c>
      <c r="K13" s="2" t="s">
        <v>226</v>
      </c>
      <c r="L13" s="2" t="s">
        <v>227</v>
      </c>
      <c r="M13" s="3" t="s">
        <v>228</v>
      </c>
      <c r="O13" s="3" t="s">
        <v>65</v>
      </c>
      <c r="P13" s="3" t="s">
        <v>66</v>
      </c>
      <c r="R13" s="3" t="s">
        <v>67</v>
      </c>
      <c r="S13" s="4">
        <v>0</v>
      </c>
      <c r="T13" s="4">
        <v>0</v>
      </c>
      <c r="U13" s="5" t="s">
        <v>229</v>
      </c>
      <c r="V13" s="5" t="s">
        <v>229</v>
      </c>
      <c r="W13" s="5" t="s">
        <v>230</v>
      </c>
      <c r="X13" s="5" t="s">
        <v>230</v>
      </c>
      <c r="Y13" s="4">
        <v>369</v>
      </c>
      <c r="Z13" s="4">
        <v>248</v>
      </c>
      <c r="AA13" s="4">
        <v>255</v>
      </c>
      <c r="AB13" s="4">
        <v>4</v>
      </c>
      <c r="AC13" s="4">
        <v>4</v>
      </c>
      <c r="AD13" s="4">
        <v>13</v>
      </c>
      <c r="AE13" s="4">
        <v>13</v>
      </c>
      <c r="AF13" s="4">
        <v>2</v>
      </c>
      <c r="AG13" s="4">
        <v>2</v>
      </c>
      <c r="AH13" s="4">
        <v>3</v>
      </c>
      <c r="AI13" s="4">
        <v>3</v>
      </c>
      <c r="AJ13" s="4">
        <v>7</v>
      </c>
      <c r="AK13" s="4">
        <v>7</v>
      </c>
      <c r="AL13" s="4">
        <v>3</v>
      </c>
      <c r="AM13" s="4">
        <v>3</v>
      </c>
      <c r="AN13" s="4">
        <v>0</v>
      </c>
      <c r="AO13" s="4">
        <v>0</v>
      </c>
      <c r="AP13" s="3" t="s">
        <v>58</v>
      </c>
      <c r="AQ13" s="3" t="s">
        <v>80</v>
      </c>
      <c r="AR13" s="6" t="str">
        <f>HYPERLINK("http://catalog.hathitrust.org/Record/001953974","HathiTrust Record")</f>
        <v>HathiTrust Record</v>
      </c>
      <c r="AS13" s="6" t="str">
        <f>HYPERLINK("https://creighton-primo.hosted.exlibrisgroup.com/primo-explore/search?tab=default_tab&amp;search_scope=EVERYTHING&amp;vid=01CRU&amp;lang=en_US&amp;offset=0&amp;query=any,contains,991001561949702656","Catalog Record")</f>
        <v>Catalog Record</v>
      </c>
      <c r="AT13" s="6" t="str">
        <f>HYPERLINK("http://www.worldcat.org/oclc/20318194","WorldCat Record")</f>
        <v>WorldCat Record</v>
      </c>
      <c r="AU13" s="3" t="s">
        <v>231</v>
      </c>
      <c r="AV13" s="3" t="s">
        <v>232</v>
      </c>
      <c r="AW13" s="3" t="s">
        <v>233</v>
      </c>
      <c r="AX13" s="3" t="s">
        <v>233</v>
      </c>
      <c r="AY13" s="3" t="s">
        <v>234</v>
      </c>
      <c r="AZ13" s="3" t="s">
        <v>74</v>
      </c>
      <c r="BB13" s="3" t="s">
        <v>235</v>
      </c>
      <c r="BC13" s="3" t="s">
        <v>236</v>
      </c>
      <c r="BD13" s="3" t="s">
        <v>237</v>
      </c>
    </row>
    <row r="14" spans="1:56" ht="40.5" customHeight="1" x14ac:dyDescent="0.25">
      <c r="A14" s="7" t="s">
        <v>58</v>
      </c>
      <c r="B14" s="2" t="s">
        <v>238</v>
      </c>
      <c r="C14" s="2" t="s">
        <v>239</v>
      </c>
      <c r="D14" s="2" t="s">
        <v>240</v>
      </c>
      <c r="F14" s="3" t="s">
        <v>58</v>
      </c>
      <c r="G14" s="3" t="s">
        <v>59</v>
      </c>
      <c r="H14" s="3" t="s">
        <v>58</v>
      </c>
      <c r="I14" s="3" t="s">
        <v>58</v>
      </c>
      <c r="J14" s="3" t="s">
        <v>60</v>
      </c>
      <c r="K14" s="2" t="s">
        <v>241</v>
      </c>
      <c r="L14" s="2" t="s">
        <v>242</v>
      </c>
      <c r="M14" s="3" t="s">
        <v>243</v>
      </c>
      <c r="N14" s="2" t="s">
        <v>84</v>
      </c>
      <c r="O14" s="3" t="s">
        <v>65</v>
      </c>
      <c r="P14" s="3" t="s">
        <v>244</v>
      </c>
      <c r="Q14" s="2" t="s">
        <v>245</v>
      </c>
      <c r="R14" s="3" t="s">
        <v>67</v>
      </c>
      <c r="S14" s="4">
        <v>1</v>
      </c>
      <c r="T14" s="4">
        <v>1</v>
      </c>
      <c r="U14" s="5" t="s">
        <v>246</v>
      </c>
      <c r="V14" s="5" t="s">
        <v>246</v>
      </c>
      <c r="W14" s="5" t="s">
        <v>246</v>
      </c>
      <c r="X14" s="5" t="s">
        <v>246</v>
      </c>
      <c r="Y14" s="4">
        <v>403</v>
      </c>
      <c r="Z14" s="4">
        <v>326</v>
      </c>
      <c r="AA14" s="4">
        <v>334</v>
      </c>
      <c r="AB14" s="4">
        <v>2</v>
      </c>
      <c r="AC14" s="4">
        <v>2</v>
      </c>
      <c r="AD14" s="4">
        <v>16</v>
      </c>
      <c r="AE14" s="4">
        <v>16</v>
      </c>
      <c r="AF14" s="4">
        <v>6</v>
      </c>
      <c r="AG14" s="4">
        <v>6</v>
      </c>
      <c r="AH14" s="4">
        <v>4</v>
      </c>
      <c r="AI14" s="4">
        <v>4</v>
      </c>
      <c r="AJ14" s="4">
        <v>10</v>
      </c>
      <c r="AK14" s="4">
        <v>10</v>
      </c>
      <c r="AL14" s="4">
        <v>1</v>
      </c>
      <c r="AM14" s="4">
        <v>1</v>
      </c>
      <c r="AN14" s="4">
        <v>1</v>
      </c>
      <c r="AO14" s="4">
        <v>1</v>
      </c>
      <c r="AP14" s="3" t="s">
        <v>58</v>
      </c>
      <c r="AQ14" s="3" t="s">
        <v>80</v>
      </c>
      <c r="AR14" s="6" t="str">
        <f>HYPERLINK("http://catalog.hathitrust.org/Record/002499219","HathiTrust Record")</f>
        <v>HathiTrust Record</v>
      </c>
      <c r="AS14" s="6" t="str">
        <f>HYPERLINK("https://creighton-primo.hosted.exlibrisgroup.com/primo-explore/search?tab=default_tab&amp;search_scope=EVERYTHING&amp;vid=01CRU&amp;lang=en_US&amp;offset=0&amp;query=any,contains,991004922839702656","Catalog Record")</f>
        <v>Catalog Record</v>
      </c>
      <c r="AT14" s="6" t="str">
        <f>HYPERLINK("http://www.worldcat.org/oclc/23766444","WorldCat Record")</f>
        <v>WorldCat Record</v>
      </c>
      <c r="AU14" s="3" t="s">
        <v>247</v>
      </c>
      <c r="AV14" s="3" t="s">
        <v>248</v>
      </c>
      <c r="AW14" s="3" t="s">
        <v>249</v>
      </c>
      <c r="AX14" s="3" t="s">
        <v>249</v>
      </c>
      <c r="AY14" s="3" t="s">
        <v>250</v>
      </c>
      <c r="AZ14" s="3" t="s">
        <v>74</v>
      </c>
      <c r="BB14" s="3" t="s">
        <v>251</v>
      </c>
      <c r="BC14" s="3" t="s">
        <v>252</v>
      </c>
      <c r="BD14" s="3" t="s">
        <v>253</v>
      </c>
    </row>
    <row r="15" spans="1:56" ht="40.5" customHeight="1" x14ac:dyDescent="0.25">
      <c r="A15" s="7" t="s">
        <v>58</v>
      </c>
      <c r="B15" s="2" t="s">
        <v>254</v>
      </c>
      <c r="C15" s="2" t="s">
        <v>255</v>
      </c>
      <c r="D15" s="2" t="s">
        <v>256</v>
      </c>
      <c r="F15" s="3" t="s">
        <v>58</v>
      </c>
      <c r="G15" s="3" t="s">
        <v>59</v>
      </c>
      <c r="H15" s="3" t="s">
        <v>58</v>
      </c>
      <c r="I15" s="3" t="s">
        <v>58</v>
      </c>
      <c r="J15" s="3" t="s">
        <v>60</v>
      </c>
      <c r="L15" s="2" t="s">
        <v>257</v>
      </c>
      <c r="M15" s="3" t="s">
        <v>258</v>
      </c>
      <c r="O15" s="3" t="s">
        <v>65</v>
      </c>
      <c r="P15" s="3" t="s">
        <v>259</v>
      </c>
      <c r="R15" s="3" t="s">
        <v>67</v>
      </c>
      <c r="S15" s="4">
        <v>1</v>
      </c>
      <c r="T15" s="4">
        <v>1</v>
      </c>
      <c r="U15" s="5" t="s">
        <v>260</v>
      </c>
      <c r="V15" s="5" t="s">
        <v>260</v>
      </c>
      <c r="W15" s="5" t="s">
        <v>261</v>
      </c>
      <c r="X15" s="5" t="s">
        <v>261</v>
      </c>
      <c r="Y15" s="4">
        <v>250</v>
      </c>
      <c r="Z15" s="4">
        <v>190</v>
      </c>
      <c r="AA15" s="4">
        <v>191</v>
      </c>
      <c r="AB15" s="4">
        <v>1</v>
      </c>
      <c r="AC15" s="4">
        <v>1</v>
      </c>
      <c r="AD15" s="4">
        <v>10</v>
      </c>
      <c r="AE15" s="4">
        <v>10</v>
      </c>
      <c r="AF15" s="4">
        <v>4</v>
      </c>
      <c r="AG15" s="4">
        <v>4</v>
      </c>
      <c r="AH15" s="4">
        <v>4</v>
      </c>
      <c r="AI15" s="4">
        <v>4</v>
      </c>
      <c r="AJ15" s="4">
        <v>6</v>
      </c>
      <c r="AK15" s="4">
        <v>6</v>
      </c>
      <c r="AL15" s="4">
        <v>0</v>
      </c>
      <c r="AM15" s="4">
        <v>0</v>
      </c>
      <c r="AN15" s="4">
        <v>0</v>
      </c>
      <c r="AO15" s="4">
        <v>0</v>
      </c>
      <c r="AP15" s="3" t="s">
        <v>58</v>
      </c>
      <c r="AQ15" s="3" t="s">
        <v>80</v>
      </c>
      <c r="AR15" s="6" t="str">
        <f>HYPERLINK("http://catalog.hathitrust.org/Record/004264187","HathiTrust Record")</f>
        <v>HathiTrust Record</v>
      </c>
      <c r="AS15" s="6" t="str">
        <f>HYPERLINK("https://creighton-primo.hosted.exlibrisgroup.com/primo-explore/search?tab=default_tab&amp;search_scope=EVERYTHING&amp;vid=01CRU&amp;lang=en_US&amp;offset=0&amp;query=any,contains,991004752179702656","Catalog Record")</f>
        <v>Catalog Record</v>
      </c>
      <c r="AT15" s="6" t="str">
        <f>HYPERLINK("http://www.worldcat.org/oclc/49843479","WorldCat Record")</f>
        <v>WorldCat Record</v>
      </c>
      <c r="AU15" s="3" t="s">
        <v>262</v>
      </c>
      <c r="AV15" s="3" t="s">
        <v>263</v>
      </c>
      <c r="AW15" s="3" t="s">
        <v>264</v>
      </c>
      <c r="AX15" s="3" t="s">
        <v>264</v>
      </c>
      <c r="AY15" s="3" t="s">
        <v>265</v>
      </c>
      <c r="AZ15" s="3" t="s">
        <v>74</v>
      </c>
      <c r="BB15" s="3" t="s">
        <v>266</v>
      </c>
      <c r="BC15" s="3" t="s">
        <v>267</v>
      </c>
      <c r="BD15" s="3" t="s">
        <v>268</v>
      </c>
    </row>
    <row r="16" spans="1:56" ht="40.5" customHeight="1" x14ac:dyDescent="0.25">
      <c r="A16" s="7" t="s">
        <v>58</v>
      </c>
      <c r="B16" s="2" t="s">
        <v>269</v>
      </c>
      <c r="C16" s="2" t="s">
        <v>270</v>
      </c>
      <c r="D16" s="2" t="s">
        <v>271</v>
      </c>
      <c r="F16" s="3" t="s">
        <v>58</v>
      </c>
      <c r="G16" s="3" t="s">
        <v>59</v>
      </c>
      <c r="H16" s="3" t="s">
        <v>58</v>
      </c>
      <c r="I16" s="3" t="s">
        <v>58</v>
      </c>
      <c r="J16" s="3" t="s">
        <v>60</v>
      </c>
      <c r="K16" s="2" t="s">
        <v>272</v>
      </c>
      <c r="L16" s="2" t="s">
        <v>273</v>
      </c>
      <c r="M16" s="3" t="s">
        <v>274</v>
      </c>
      <c r="O16" s="3" t="s">
        <v>65</v>
      </c>
      <c r="P16" s="3" t="s">
        <v>275</v>
      </c>
      <c r="R16" s="3" t="s">
        <v>67</v>
      </c>
      <c r="S16" s="4">
        <v>1</v>
      </c>
      <c r="T16" s="4">
        <v>1</v>
      </c>
      <c r="U16" s="5" t="s">
        <v>276</v>
      </c>
      <c r="V16" s="5" t="s">
        <v>276</v>
      </c>
      <c r="W16" s="5" t="s">
        <v>276</v>
      </c>
      <c r="X16" s="5" t="s">
        <v>276</v>
      </c>
      <c r="Y16" s="4">
        <v>285</v>
      </c>
      <c r="Z16" s="4">
        <v>211</v>
      </c>
      <c r="AA16" s="4">
        <v>217</v>
      </c>
      <c r="AB16" s="4">
        <v>2</v>
      </c>
      <c r="AC16" s="4">
        <v>2</v>
      </c>
      <c r="AD16" s="4">
        <v>9</v>
      </c>
      <c r="AE16" s="4">
        <v>9</v>
      </c>
      <c r="AF16" s="4">
        <v>3</v>
      </c>
      <c r="AG16" s="4">
        <v>3</v>
      </c>
      <c r="AH16" s="4">
        <v>3</v>
      </c>
      <c r="AI16" s="4">
        <v>3</v>
      </c>
      <c r="AJ16" s="4">
        <v>6</v>
      </c>
      <c r="AK16" s="4">
        <v>6</v>
      </c>
      <c r="AL16" s="4">
        <v>1</v>
      </c>
      <c r="AM16" s="4">
        <v>1</v>
      </c>
      <c r="AN16" s="4">
        <v>0</v>
      </c>
      <c r="AO16" s="4">
        <v>0</v>
      </c>
      <c r="AP16" s="3" t="s">
        <v>58</v>
      </c>
      <c r="AQ16" s="3" t="s">
        <v>80</v>
      </c>
      <c r="AR16" s="6" t="str">
        <f>HYPERLINK("http://catalog.hathitrust.org/Record/004112958","HathiTrust Record")</f>
        <v>HathiTrust Record</v>
      </c>
      <c r="AS16" s="6" t="str">
        <f>HYPERLINK("https://creighton-primo.hosted.exlibrisgroup.com/primo-explore/search?tab=default_tab&amp;search_scope=EVERYTHING&amp;vid=01CRU&amp;lang=en_US&amp;offset=0&amp;query=any,contains,991003591399702656","Catalog Record")</f>
        <v>Catalog Record</v>
      </c>
      <c r="AT16" s="6" t="str">
        <f>HYPERLINK("http://www.worldcat.org/oclc/42649787","WorldCat Record")</f>
        <v>WorldCat Record</v>
      </c>
      <c r="AU16" s="3" t="s">
        <v>277</v>
      </c>
      <c r="AV16" s="3" t="s">
        <v>278</v>
      </c>
      <c r="AW16" s="3" t="s">
        <v>279</v>
      </c>
      <c r="AX16" s="3" t="s">
        <v>279</v>
      </c>
      <c r="AY16" s="3" t="s">
        <v>280</v>
      </c>
      <c r="AZ16" s="3" t="s">
        <v>74</v>
      </c>
      <c r="BB16" s="3" t="s">
        <v>281</v>
      </c>
      <c r="BC16" s="3" t="s">
        <v>282</v>
      </c>
      <c r="BD16" s="3" t="s">
        <v>283</v>
      </c>
    </row>
    <row r="17" spans="1:56" ht="40.5" customHeight="1" x14ac:dyDescent="0.25">
      <c r="A17" s="7" t="s">
        <v>58</v>
      </c>
      <c r="B17" s="2" t="s">
        <v>284</v>
      </c>
      <c r="C17" s="2" t="s">
        <v>285</v>
      </c>
      <c r="D17" s="2" t="s">
        <v>286</v>
      </c>
      <c r="F17" s="3" t="s">
        <v>58</v>
      </c>
      <c r="G17" s="3" t="s">
        <v>59</v>
      </c>
      <c r="H17" s="3" t="s">
        <v>58</v>
      </c>
      <c r="I17" s="3" t="s">
        <v>58</v>
      </c>
      <c r="J17" s="3" t="s">
        <v>60</v>
      </c>
      <c r="K17" s="2" t="s">
        <v>287</v>
      </c>
      <c r="L17" s="2" t="s">
        <v>288</v>
      </c>
      <c r="M17" s="3" t="s">
        <v>289</v>
      </c>
      <c r="O17" s="3" t="s">
        <v>65</v>
      </c>
      <c r="P17" s="3" t="s">
        <v>66</v>
      </c>
      <c r="R17" s="3" t="s">
        <v>67</v>
      </c>
      <c r="S17" s="4">
        <v>1</v>
      </c>
      <c r="T17" s="4">
        <v>1</v>
      </c>
      <c r="U17" s="5" t="s">
        <v>290</v>
      </c>
      <c r="V17" s="5" t="s">
        <v>290</v>
      </c>
      <c r="W17" s="5" t="s">
        <v>290</v>
      </c>
      <c r="X17" s="5" t="s">
        <v>290</v>
      </c>
      <c r="Y17" s="4">
        <v>239</v>
      </c>
      <c r="Z17" s="4">
        <v>193</v>
      </c>
      <c r="AA17" s="4">
        <v>672</v>
      </c>
      <c r="AB17" s="4">
        <v>2</v>
      </c>
      <c r="AC17" s="4">
        <v>5</v>
      </c>
      <c r="AD17" s="4">
        <v>11</v>
      </c>
      <c r="AE17" s="4">
        <v>32</v>
      </c>
      <c r="AF17" s="4">
        <v>3</v>
      </c>
      <c r="AG17" s="4">
        <v>12</v>
      </c>
      <c r="AH17" s="4">
        <v>3</v>
      </c>
      <c r="AI17" s="4">
        <v>8</v>
      </c>
      <c r="AJ17" s="4">
        <v>7</v>
      </c>
      <c r="AK17" s="4">
        <v>15</v>
      </c>
      <c r="AL17" s="4">
        <v>1</v>
      </c>
      <c r="AM17" s="4">
        <v>4</v>
      </c>
      <c r="AN17" s="4">
        <v>0</v>
      </c>
      <c r="AO17" s="4">
        <v>1</v>
      </c>
      <c r="AP17" s="3" t="s">
        <v>58</v>
      </c>
      <c r="AQ17" s="3" t="s">
        <v>58</v>
      </c>
      <c r="AS17" s="6" t="str">
        <f>HYPERLINK("https://creighton-primo.hosted.exlibrisgroup.com/primo-explore/search?tab=default_tab&amp;search_scope=EVERYTHING&amp;vid=01CRU&amp;lang=en_US&amp;offset=0&amp;query=any,contains,991005137579702656","Catalog Record")</f>
        <v>Catalog Record</v>
      </c>
      <c r="AT17" s="6" t="str">
        <f>HYPERLINK("http://www.worldcat.org/oclc/84838208","WorldCat Record")</f>
        <v>WorldCat Record</v>
      </c>
      <c r="AU17" s="3" t="s">
        <v>291</v>
      </c>
      <c r="AV17" s="3" t="s">
        <v>292</v>
      </c>
      <c r="AW17" s="3" t="s">
        <v>293</v>
      </c>
      <c r="AX17" s="3" t="s">
        <v>293</v>
      </c>
      <c r="AY17" s="3" t="s">
        <v>294</v>
      </c>
      <c r="AZ17" s="3" t="s">
        <v>74</v>
      </c>
      <c r="BB17" s="3" t="s">
        <v>295</v>
      </c>
      <c r="BC17" s="3" t="s">
        <v>296</v>
      </c>
      <c r="BD17" s="3" t="s">
        <v>297</v>
      </c>
    </row>
    <row r="18" spans="1:56" ht="40.5" customHeight="1" x14ac:dyDescent="0.25">
      <c r="A18" s="7" t="s">
        <v>58</v>
      </c>
      <c r="B18" s="2" t="s">
        <v>298</v>
      </c>
      <c r="C18" s="2" t="s">
        <v>299</v>
      </c>
      <c r="D18" s="2" t="s">
        <v>300</v>
      </c>
      <c r="F18" s="3" t="s">
        <v>58</v>
      </c>
      <c r="G18" s="3" t="s">
        <v>59</v>
      </c>
      <c r="H18" s="3" t="s">
        <v>58</v>
      </c>
      <c r="I18" s="3" t="s">
        <v>58</v>
      </c>
      <c r="J18" s="3" t="s">
        <v>60</v>
      </c>
      <c r="K18" s="2" t="s">
        <v>301</v>
      </c>
      <c r="L18" s="2" t="s">
        <v>302</v>
      </c>
      <c r="M18" s="3" t="s">
        <v>303</v>
      </c>
      <c r="O18" s="3" t="s">
        <v>65</v>
      </c>
      <c r="P18" s="3" t="s">
        <v>304</v>
      </c>
      <c r="Q18" s="2" t="s">
        <v>305</v>
      </c>
      <c r="R18" s="3" t="s">
        <v>67</v>
      </c>
      <c r="S18" s="4">
        <v>1</v>
      </c>
      <c r="T18" s="4">
        <v>1</v>
      </c>
      <c r="U18" s="5" t="s">
        <v>306</v>
      </c>
      <c r="V18" s="5" t="s">
        <v>306</v>
      </c>
      <c r="W18" s="5" t="s">
        <v>306</v>
      </c>
      <c r="X18" s="5" t="s">
        <v>306</v>
      </c>
      <c r="Y18" s="4">
        <v>189</v>
      </c>
      <c r="Z18" s="4">
        <v>124</v>
      </c>
      <c r="AA18" s="4">
        <v>234</v>
      </c>
      <c r="AB18" s="4">
        <v>1</v>
      </c>
      <c r="AC18" s="4">
        <v>1</v>
      </c>
      <c r="AD18" s="4">
        <v>4</v>
      </c>
      <c r="AE18" s="4">
        <v>8</v>
      </c>
      <c r="AF18" s="4">
        <v>0</v>
      </c>
      <c r="AG18" s="4">
        <v>3</v>
      </c>
      <c r="AH18" s="4">
        <v>3</v>
      </c>
      <c r="AI18" s="4">
        <v>3</v>
      </c>
      <c r="AJ18" s="4">
        <v>3</v>
      </c>
      <c r="AK18" s="4">
        <v>5</v>
      </c>
      <c r="AL18" s="4">
        <v>0</v>
      </c>
      <c r="AM18" s="4">
        <v>0</v>
      </c>
      <c r="AN18" s="4">
        <v>0</v>
      </c>
      <c r="AO18" s="4">
        <v>0</v>
      </c>
      <c r="AP18" s="3" t="s">
        <v>58</v>
      </c>
      <c r="AQ18" s="3" t="s">
        <v>58</v>
      </c>
      <c r="AS18" s="6" t="str">
        <f>HYPERLINK("https://creighton-primo.hosted.exlibrisgroup.com/primo-explore/search?tab=default_tab&amp;search_scope=EVERYTHING&amp;vid=01CRU&amp;lang=en_US&amp;offset=0&amp;query=any,contains,991005358759702656","Catalog Record")</f>
        <v>Catalog Record</v>
      </c>
      <c r="AT18" s="6" t="str">
        <f>HYPERLINK("http://www.worldcat.org/oclc/320185536","WorldCat Record")</f>
        <v>WorldCat Record</v>
      </c>
      <c r="AU18" s="3" t="s">
        <v>307</v>
      </c>
      <c r="AV18" s="3" t="s">
        <v>308</v>
      </c>
      <c r="AW18" s="3" t="s">
        <v>309</v>
      </c>
      <c r="AX18" s="3" t="s">
        <v>309</v>
      </c>
      <c r="AY18" s="3" t="s">
        <v>310</v>
      </c>
      <c r="AZ18" s="3" t="s">
        <v>74</v>
      </c>
      <c r="BB18" s="3" t="s">
        <v>311</v>
      </c>
      <c r="BC18" s="3" t="s">
        <v>312</v>
      </c>
      <c r="BD18" s="3" t="s">
        <v>313</v>
      </c>
    </row>
    <row r="19" spans="1:56" ht="40.5" customHeight="1" x14ac:dyDescent="0.25">
      <c r="A19" s="7" t="s">
        <v>58</v>
      </c>
      <c r="B19" s="2" t="s">
        <v>314</v>
      </c>
      <c r="C19" s="2" t="s">
        <v>315</v>
      </c>
      <c r="D19" s="2" t="s">
        <v>316</v>
      </c>
      <c r="F19" s="3" t="s">
        <v>58</v>
      </c>
      <c r="G19" s="3" t="s">
        <v>59</v>
      </c>
      <c r="H19" s="3" t="s">
        <v>58</v>
      </c>
      <c r="I19" s="3" t="s">
        <v>58</v>
      </c>
      <c r="J19" s="3" t="s">
        <v>60</v>
      </c>
      <c r="K19" s="2" t="s">
        <v>317</v>
      </c>
      <c r="L19" s="2" t="s">
        <v>318</v>
      </c>
      <c r="M19" s="3" t="s">
        <v>319</v>
      </c>
      <c r="O19" s="3" t="s">
        <v>65</v>
      </c>
      <c r="P19" s="3" t="s">
        <v>112</v>
      </c>
      <c r="R19" s="3" t="s">
        <v>67</v>
      </c>
      <c r="S19" s="4">
        <v>1</v>
      </c>
      <c r="T19" s="4">
        <v>1</v>
      </c>
      <c r="U19" s="5" t="s">
        <v>320</v>
      </c>
      <c r="V19" s="5" t="s">
        <v>320</v>
      </c>
      <c r="W19" s="5" t="s">
        <v>321</v>
      </c>
      <c r="X19" s="5" t="s">
        <v>321</v>
      </c>
      <c r="Y19" s="4">
        <v>289</v>
      </c>
      <c r="Z19" s="4">
        <v>279</v>
      </c>
      <c r="AA19" s="4">
        <v>279</v>
      </c>
      <c r="AB19" s="4">
        <v>2</v>
      </c>
      <c r="AC19" s="4">
        <v>2</v>
      </c>
      <c r="AD19" s="4">
        <v>6</v>
      </c>
      <c r="AE19" s="4">
        <v>6</v>
      </c>
      <c r="AF19" s="4">
        <v>2</v>
      </c>
      <c r="AG19" s="4">
        <v>2</v>
      </c>
      <c r="AH19" s="4">
        <v>1</v>
      </c>
      <c r="AI19" s="4">
        <v>1</v>
      </c>
      <c r="AJ19" s="4">
        <v>5</v>
      </c>
      <c r="AK19" s="4">
        <v>5</v>
      </c>
      <c r="AL19" s="4">
        <v>1</v>
      </c>
      <c r="AM19" s="4">
        <v>1</v>
      </c>
      <c r="AN19" s="4">
        <v>0</v>
      </c>
      <c r="AO19" s="4">
        <v>0</v>
      </c>
      <c r="AP19" s="3" t="s">
        <v>58</v>
      </c>
      <c r="AQ19" s="3" t="s">
        <v>58</v>
      </c>
      <c r="AS19" s="6" t="str">
        <f>HYPERLINK("https://creighton-primo.hosted.exlibrisgroup.com/primo-explore/search?tab=default_tab&amp;search_scope=EVERYTHING&amp;vid=01CRU&amp;lang=en_US&amp;offset=0&amp;query=any,contains,991004444809702656","Catalog Record")</f>
        <v>Catalog Record</v>
      </c>
      <c r="AT19" s="6" t="str">
        <f>HYPERLINK("http://www.worldcat.org/oclc/3481037","WorldCat Record")</f>
        <v>WorldCat Record</v>
      </c>
      <c r="AU19" s="3" t="s">
        <v>322</v>
      </c>
      <c r="AV19" s="3" t="s">
        <v>323</v>
      </c>
      <c r="AW19" s="3" t="s">
        <v>324</v>
      </c>
      <c r="AX19" s="3" t="s">
        <v>324</v>
      </c>
      <c r="AY19" s="3" t="s">
        <v>325</v>
      </c>
      <c r="AZ19" s="3" t="s">
        <v>74</v>
      </c>
      <c r="BB19" s="3" t="s">
        <v>326</v>
      </c>
      <c r="BC19" s="3" t="s">
        <v>327</v>
      </c>
      <c r="BD19" s="3" t="s">
        <v>328</v>
      </c>
    </row>
    <row r="20" spans="1:56" ht="40.5" customHeight="1" x14ac:dyDescent="0.25">
      <c r="A20" s="7" t="s">
        <v>58</v>
      </c>
      <c r="B20" s="2" t="s">
        <v>329</v>
      </c>
      <c r="C20" s="2" t="s">
        <v>330</v>
      </c>
      <c r="D20" s="2" t="s">
        <v>331</v>
      </c>
      <c r="F20" s="3" t="s">
        <v>58</v>
      </c>
      <c r="G20" s="3" t="s">
        <v>59</v>
      </c>
      <c r="H20" s="3" t="s">
        <v>58</v>
      </c>
      <c r="I20" s="3" t="s">
        <v>80</v>
      </c>
      <c r="J20" s="3" t="s">
        <v>60</v>
      </c>
      <c r="K20" s="2" t="s">
        <v>332</v>
      </c>
      <c r="L20" s="2" t="s">
        <v>333</v>
      </c>
      <c r="M20" s="3" t="s">
        <v>334</v>
      </c>
      <c r="O20" s="3" t="s">
        <v>65</v>
      </c>
      <c r="P20" s="3" t="s">
        <v>66</v>
      </c>
      <c r="R20" s="3" t="s">
        <v>67</v>
      </c>
      <c r="S20" s="4">
        <v>0</v>
      </c>
      <c r="T20" s="4">
        <v>0</v>
      </c>
      <c r="U20" s="5" t="s">
        <v>335</v>
      </c>
      <c r="V20" s="5" t="s">
        <v>335</v>
      </c>
      <c r="W20" s="5" t="s">
        <v>336</v>
      </c>
      <c r="X20" s="5" t="s">
        <v>336</v>
      </c>
      <c r="Y20" s="4">
        <v>262</v>
      </c>
      <c r="Z20" s="4">
        <v>246</v>
      </c>
      <c r="AA20" s="4">
        <v>1157</v>
      </c>
      <c r="AB20" s="4">
        <v>2</v>
      </c>
      <c r="AC20" s="4">
        <v>10</v>
      </c>
      <c r="AD20" s="4">
        <v>13</v>
      </c>
      <c r="AE20" s="4">
        <v>48</v>
      </c>
      <c r="AF20" s="4">
        <v>0</v>
      </c>
      <c r="AG20" s="4">
        <v>12</v>
      </c>
      <c r="AH20" s="4">
        <v>3</v>
      </c>
      <c r="AI20" s="4">
        <v>10</v>
      </c>
      <c r="AJ20" s="4">
        <v>7</v>
      </c>
      <c r="AK20" s="4">
        <v>16</v>
      </c>
      <c r="AL20" s="4">
        <v>1</v>
      </c>
      <c r="AM20" s="4">
        <v>6</v>
      </c>
      <c r="AN20" s="4">
        <v>4</v>
      </c>
      <c r="AO20" s="4">
        <v>14</v>
      </c>
      <c r="AP20" s="3" t="s">
        <v>80</v>
      </c>
      <c r="AQ20" s="3" t="s">
        <v>58</v>
      </c>
      <c r="AR20" s="6" t="str">
        <f>HYPERLINK("http://catalog.hathitrust.org/Record/001125810","HathiTrust Record")</f>
        <v>HathiTrust Record</v>
      </c>
      <c r="AS20" s="6" t="str">
        <f>HYPERLINK("https://creighton-primo.hosted.exlibrisgroup.com/primo-explore/search?tab=default_tab&amp;search_scope=EVERYTHING&amp;vid=01CRU&amp;lang=en_US&amp;offset=0&amp;query=any,contains,991000864849702656","Catalog Record")</f>
        <v>Catalog Record</v>
      </c>
      <c r="AT20" s="6" t="str">
        <f>HYPERLINK("http://www.worldcat.org/oclc/13721951","WorldCat Record")</f>
        <v>WorldCat Record</v>
      </c>
      <c r="AU20" s="3" t="s">
        <v>337</v>
      </c>
      <c r="AV20" s="3" t="s">
        <v>338</v>
      </c>
      <c r="AW20" s="3" t="s">
        <v>339</v>
      </c>
      <c r="AX20" s="3" t="s">
        <v>339</v>
      </c>
      <c r="AY20" s="3" t="s">
        <v>340</v>
      </c>
      <c r="AZ20" s="3" t="s">
        <v>74</v>
      </c>
      <c r="BC20" s="3" t="s">
        <v>341</v>
      </c>
      <c r="BD20" s="3" t="s">
        <v>342</v>
      </c>
    </row>
    <row r="21" spans="1:56" ht="40.5" customHeight="1" x14ac:dyDescent="0.25">
      <c r="A21" s="7" t="s">
        <v>58</v>
      </c>
      <c r="B21" s="2" t="s">
        <v>343</v>
      </c>
      <c r="C21" s="2" t="s">
        <v>344</v>
      </c>
      <c r="D21" s="2" t="s">
        <v>345</v>
      </c>
      <c r="F21" s="3" t="s">
        <v>58</v>
      </c>
      <c r="G21" s="3" t="s">
        <v>59</v>
      </c>
      <c r="H21" s="3" t="s">
        <v>58</v>
      </c>
      <c r="I21" s="3" t="s">
        <v>80</v>
      </c>
      <c r="J21" s="3" t="s">
        <v>60</v>
      </c>
      <c r="K21" s="2" t="s">
        <v>332</v>
      </c>
      <c r="L21" s="2" t="s">
        <v>346</v>
      </c>
      <c r="M21" s="3" t="s">
        <v>98</v>
      </c>
      <c r="O21" s="3" t="s">
        <v>65</v>
      </c>
      <c r="P21" s="3" t="s">
        <v>155</v>
      </c>
      <c r="Q21" s="2" t="s">
        <v>347</v>
      </c>
      <c r="R21" s="3" t="s">
        <v>67</v>
      </c>
      <c r="S21" s="4">
        <v>1</v>
      </c>
      <c r="T21" s="4">
        <v>1</v>
      </c>
      <c r="U21" s="5" t="s">
        <v>348</v>
      </c>
      <c r="V21" s="5" t="s">
        <v>348</v>
      </c>
      <c r="W21" s="5" t="s">
        <v>349</v>
      </c>
      <c r="X21" s="5" t="s">
        <v>349</v>
      </c>
      <c r="Y21" s="4">
        <v>279</v>
      </c>
      <c r="Z21" s="4">
        <v>262</v>
      </c>
      <c r="AA21" s="4">
        <v>1157</v>
      </c>
      <c r="AB21" s="4">
        <v>2</v>
      </c>
      <c r="AC21" s="4">
        <v>10</v>
      </c>
      <c r="AD21" s="4">
        <v>13</v>
      </c>
      <c r="AE21" s="4">
        <v>48</v>
      </c>
      <c r="AF21" s="4">
        <v>3</v>
      </c>
      <c r="AG21" s="4">
        <v>12</v>
      </c>
      <c r="AH21" s="4">
        <v>3</v>
      </c>
      <c r="AI21" s="4">
        <v>10</v>
      </c>
      <c r="AJ21" s="4">
        <v>7</v>
      </c>
      <c r="AK21" s="4">
        <v>16</v>
      </c>
      <c r="AL21" s="4">
        <v>1</v>
      </c>
      <c r="AM21" s="4">
        <v>6</v>
      </c>
      <c r="AN21" s="4">
        <v>2</v>
      </c>
      <c r="AO21" s="4">
        <v>14</v>
      </c>
      <c r="AP21" s="3" t="s">
        <v>58</v>
      </c>
      <c r="AQ21" s="3" t="s">
        <v>58</v>
      </c>
      <c r="AS21" s="6" t="str">
        <f>HYPERLINK("https://creighton-primo.hosted.exlibrisgroup.com/primo-explore/search?tab=default_tab&amp;search_scope=EVERYTHING&amp;vid=01CRU&amp;lang=en_US&amp;offset=0&amp;query=any,contains,991002494029702656","Catalog Record")</f>
        <v>Catalog Record</v>
      </c>
      <c r="AT21" s="6" t="str">
        <f>HYPERLINK("http://www.worldcat.org/oclc/32458007","WorldCat Record")</f>
        <v>WorldCat Record</v>
      </c>
      <c r="AU21" s="3" t="s">
        <v>337</v>
      </c>
      <c r="AV21" s="3" t="s">
        <v>350</v>
      </c>
      <c r="AW21" s="3" t="s">
        <v>351</v>
      </c>
      <c r="AX21" s="3" t="s">
        <v>351</v>
      </c>
      <c r="AY21" s="3" t="s">
        <v>352</v>
      </c>
      <c r="AZ21" s="3" t="s">
        <v>74</v>
      </c>
      <c r="BB21" s="3" t="s">
        <v>353</v>
      </c>
      <c r="BC21" s="3" t="s">
        <v>354</v>
      </c>
      <c r="BD21" s="3" t="s">
        <v>355</v>
      </c>
    </row>
    <row r="22" spans="1:56" ht="40.5" customHeight="1" x14ac:dyDescent="0.25">
      <c r="A22" s="7" t="s">
        <v>58</v>
      </c>
      <c r="B22" s="2" t="s">
        <v>356</v>
      </c>
      <c r="C22" s="2" t="s">
        <v>357</v>
      </c>
      <c r="D22" s="2" t="s">
        <v>358</v>
      </c>
      <c r="E22" s="3" t="s">
        <v>359</v>
      </c>
      <c r="F22" s="3" t="s">
        <v>80</v>
      </c>
      <c r="G22" s="3" t="s">
        <v>59</v>
      </c>
      <c r="H22" s="3" t="s">
        <v>58</v>
      </c>
      <c r="I22" s="3" t="s">
        <v>58</v>
      </c>
      <c r="J22" s="3" t="s">
        <v>60</v>
      </c>
      <c r="K22" s="2" t="s">
        <v>360</v>
      </c>
      <c r="L22" s="2" t="s">
        <v>361</v>
      </c>
      <c r="M22" s="3" t="s">
        <v>362</v>
      </c>
      <c r="O22" s="3" t="s">
        <v>65</v>
      </c>
      <c r="P22" s="3" t="s">
        <v>66</v>
      </c>
      <c r="Q22" s="2" t="s">
        <v>363</v>
      </c>
      <c r="R22" s="3" t="s">
        <v>67</v>
      </c>
      <c r="S22" s="4">
        <v>0</v>
      </c>
      <c r="T22" s="4">
        <v>3</v>
      </c>
      <c r="V22" s="5" t="s">
        <v>364</v>
      </c>
      <c r="W22" s="5" t="s">
        <v>365</v>
      </c>
      <c r="X22" s="5" t="s">
        <v>365</v>
      </c>
      <c r="Y22" s="4">
        <v>416</v>
      </c>
      <c r="Z22" s="4">
        <v>357</v>
      </c>
      <c r="AA22" s="4">
        <v>375</v>
      </c>
      <c r="AB22" s="4">
        <v>4</v>
      </c>
      <c r="AC22" s="4">
        <v>4</v>
      </c>
      <c r="AD22" s="4">
        <v>23</v>
      </c>
      <c r="AE22" s="4">
        <v>23</v>
      </c>
      <c r="AF22" s="4">
        <v>5</v>
      </c>
      <c r="AG22" s="4">
        <v>5</v>
      </c>
      <c r="AH22" s="4">
        <v>6</v>
      </c>
      <c r="AI22" s="4">
        <v>6</v>
      </c>
      <c r="AJ22" s="4">
        <v>12</v>
      </c>
      <c r="AK22" s="4">
        <v>12</v>
      </c>
      <c r="AL22" s="4">
        <v>3</v>
      </c>
      <c r="AM22" s="4">
        <v>3</v>
      </c>
      <c r="AN22" s="4">
        <v>2</v>
      </c>
      <c r="AO22" s="4">
        <v>2</v>
      </c>
      <c r="AP22" s="3" t="s">
        <v>58</v>
      </c>
      <c r="AQ22" s="3" t="s">
        <v>58</v>
      </c>
      <c r="AS22" s="6" t="str">
        <f>HYPERLINK("https://creighton-primo.hosted.exlibrisgroup.com/primo-explore/search?tab=default_tab&amp;search_scope=EVERYTHING&amp;vid=01CRU&amp;lang=en_US&amp;offset=0&amp;query=any,contains,991002249569702656","Catalog Record")</f>
        <v>Catalog Record</v>
      </c>
      <c r="AT22" s="6" t="str">
        <f>HYPERLINK("http://www.worldcat.org/oclc/29029759","WorldCat Record")</f>
        <v>WorldCat Record</v>
      </c>
      <c r="AU22" s="3" t="s">
        <v>366</v>
      </c>
      <c r="AV22" s="3" t="s">
        <v>367</v>
      </c>
      <c r="AW22" s="3" t="s">
        <v>368</v>
      </c>
      <c r="AX22" s="3" t="s">
        <v>368</v>
      </c>
      <c r="AY22" s="3" t="s">
        <v>369</v>
      </c>
      <c r="AZ22" s="3" t="s">
        <v>74</v>
      </c>
      <c r="BB22" s="3" t="s">
        <v>370</v>
      </c>
      <c r="BC22" s="3" t="s">
        <v>371</v>
      </c>
      <c r="BD22" s="3" t="s">
        <v>372</v>
      </c>
    </row>
    <row r="23" spans="1:56" ht="40.5" customHeight="1" x14ac:dyDescent="0.25">
      <c r="A23" s="7" t="s">
        <v>58</v>
      </c>
      <c r="B23" s="2" t="s">
        <v>373</v>
      </c>
      <c r="C23" s="2" t="s">
        <v>374</v>
      </c>
      <c r="D23" s="2" t="s">
        <v>375</v>
      </c>
      <c r="F23" s="3" t="s">
        <v>58</v>
      </c>
      <c r="G23" s="3" t="s">
        <v>59</v>
      </c>
      <c r="H23" s="3" t="s">
        <v>58</v>
      </c>
      <c r="I23" s="3" t="s">
        <v>58</v>
      </c>
      <c r="J23" s="3" t="s">
        <v>60</v>
      </c>
      <c r="K23" s="2" t="s">
        <v>376</v>
      </c>
      <c r="L23" s="2" t="s">
        <v>377</v>
      </c>
      <c r="M23" s="3" t="s">
        <v>378</v>
      </c>
      <c r="O23" s="3" t="s">
        <v>65</v>
      </c>
      <c r="P23" s="3" t="s">
        <v>66</v>
      </c>
      <c r="Q23" s="2" t="s">
        <v>379</v>
      </c>
      <c r="R23" s="3" t="s">
        <v>67</v>
      </c>
      <c r="S23" s="4">
        <v>1</v>
      </c>
      <c r="T23" s="4">
        <v>1</v>
      </c>
      <c r="U23" s="5" t="s">
        <v>380</v>
      </c>
      <c r="V23" s="5" t="s">
        <v>380</v>
      </c>
      <c r="W23" s="5" t="s">
        <v>336</v>
      </c>
      <c r="X23" s="5" t="s">
        <v>336</v>
      </c>
      <c r="Y23" s="4">
        <v>215</v>
      </c>
      <c r="Z23" s="4">
        <v>194</v>
      </c>
      <c r="AA23" s="4">
        <v>444</v>
      </c>
      <c r="AB23" s="4">
        <v>3</v>
      </c>
      <c r="AC23" s="4">
        <v>4</v>
      </c>
      <c r="AD23" s="4">
        <v>12</v>
      </c>
      <c r="AE23" s="4">
        <v>28</v>
      </c>
      <c r="AF23" s="4">
        <v>3</v>
      </c>
      <c r="AG23" s="4">
        <v>6</v>
      </c>
      <c r="AH23" s="4">
        <v>0</v>
      </c>
      <c r="AI23" s="4">
        <v>3</v>
      </c>
      <c r="AJ23" s="4">
        <v>2</v>
      </c>
      <c r="AK23" s="4">
        <v>6</v>
      </c>
      <c r="AL23" s="4">
        <v>1</v>
      </c>
      <c r="AM23" s="4">
        <v>2</v>
      </c>
      <c r="AN23" s="4">
        <v>6</v>
      </c>
      <c r="AO23" s="4">
        <v>15</v>
      </c>
      <c r="AP23" s="3" t="s">
        <v>58</v>
      </c>
      <c r="AQ23" s="3" t="s">
        <v>58</v>
      </c>
      <c r="AS23" s="6" t="str">
        <f>HYPERLINK("https://creighton-primo.hosted.exlibrisgroup.com/primo-explore/search?tab=default_tab&amp;search_scope=EVERYTHING&amp;vid=01CRU&amp;lang=en_US&amp;offset=0&amp;query=any,contains,991000071439702656","Catalog Record")</f>
        <v>Catalog Record</v>
      </c>
      <c r="AT23" s="6" t="str">
        <f>HYPERLINK("http://www.worldcat.org/oclc/28364","WorldCat Record")</f>
        <v>WorldCat Record</v>
      </c>
      <c r="AU23" s="3" t="s">
        <v>381</v>
      </c>
      <c r="AV23" s="3" t="s">
        <v>382</v>
      </c>
      <c r="AW23" s="3" t="s">
        <v>383</v>
      </c>
      <c r="AX23" s="3" t="s">
        <v>383</v>
      </c>
      <c r="AY23" s="3" t="s">
        <v>384</v>
      </c>
      <c r="AZ23" s="3" t="s">
        <v>74</v>
      </c>
      <c r="BB23" s="3" t="s">
        <v>385</v>
      </c>
      <c r="BC23" s="3" t="s">
        <v>386</v>
      </c>
      <c r="BD23" s="3" t="s">
        <v>387</v>
      </c>
    </row>
    <row r="24" spans="1:56" ht="40.5" customHeight="1" x14ac:dyDescent="0.25">
      <c r="A24" s="7" t="s">
        <v>58</v>
      </c>
      <c r="B24" s="2" t="s">
        <v>388</v>
      </c>
      <c r="C24" s="2" t="s">
        <v>389</v>
      </c>
      <c r="D24" s="2" t="s">
        <v>390</v>
      </c>
      <c r="F24" s="3" t="s">
        <v>58</v>
      </c>
      <c r="G24" s="3" t="s">
        <v>59</v>
      </c>
      <c r="H24" s="3" t="s">
        <v>58</v>
      </c>
      <c r="I24" s="3" t="s">
        <v>58</v>
      </c>
      <c r="J24" s="3" t="s">
        <v>60</v>
      </c>
      <c r="K24" s="2" t="s">
        <v>391</v>
      </c>
      <c r="L24" s="2" t="s">
        <v>392</v>
      </c>
      <c r="M24" s="3" t="s">
        <v>83</v>
      </c>
      <c r="O24" s="3" t="s">
        <v>65</v>
      </c>
      <c r="P24" s="3" t="s">
        <v>66</v>
      </c>
      <c r="R24" s="3" t="s">
        <v>67</v>
      </c>
      <c r="S24" s="4">
        <v>1</v>
      </c>
      <c r="T24" s="4">
        <v>1</v>
      </c>
      <c r="U24" s="5" t="s">
        <v>215</v>
      </c>
      <c r="V24" s="5" t="s">
        <v>215</v>
      </c>
      <c r="W24" s="5" t="s">
        <v>321</v>
      </c>
      <c r="X24" s="5" t="s">
        <v>321</v>
      </c>
      <c r="Y24" s="4">
        <v>457</v>
      </c>
      <c r="Z24" s="4">
        <v>409</v>
      </c>
      <c r="AA24" s="4">
        <v>411</v>
      </c>
      <c r="AB24" s="4">
        <v>5</v>
      </c>
      <c r="AC24" s="4">
        <v>5</v>
      </c>
      <c r="AD24" s="4">
        <v>22</v>
      </c>
      <c r="AE24" s="4">
        <v>22</v>
      </c>
      <c r="AF24" s="4">
        <v>8</v>
      </c>
      <c r="AG24" s="4">
        <v>8</v>
      </c>
      <c r="AH24" s="4">
        <v>5</v>
      </c>
      <c r="AI24" s="4">
        <v>5</v>
      </c>
      <c r="AJ24" s="4">
        <v>11</v>
      </c>
      <c r="AK24" s="4">
        <v>11</v>
      </c>
      <c r="AL24" s="4">
        <v>4</v>
      </c>
      <c r="AM24" s="4">
        <v>4</v>
      </c>
      <c r="AN24" s="4">
        <v>0</v>
      </c>
      <c r="AO24" s="4">
        <v>0</v>
      </c>
      <c r="AP24" s="3" t="s">
        <v>58</v>
      </c>
      <c r="AQ24" s="3" t="s">
        <v>80</v>
      </c>
      <c r="AR24" s="6" t="str">
        <f>HYPERLINK("http://catalog.hathitrust.org/Record/000314313","HathiTrust Record")</f>
        <v>HathiTrust Record</v>
      </c>
      <c r="AS24" s="6" t="str">
        <f>HYPERLINK("https://creighton-primo.hosted.exlibrisgroup.com/primo-explore/search?tab=default_tab&amp;search_scope=EVERYTHING&amp;vid=01CRU&amp;lang=en_US&amp;offset=0&amp;query=any,contains,991000120919702656","Catalog Record")</f>
        <v>Catalog Record</v>
      </c>
      <c r="AT24" s="6" t="str">
        <f>HYPERLINK("http://www.worldcat.org/oclc/9066527","WorldCat Record")</f>
        <v>WorldCat Record</v>
      </c>
      <c r="AU24" s="3" t="s">
        <v>393</v>
      </c>
      <c r="AV24" s="3" t="s">
        <v>394</v>
      </c>
      <c r="AW24" s="3" t="s">
        <v>395</v>
      </c>
      <c r="AX24" s="3" t="s">
        <v>395</v>
      </c>
      <c r="AY24" s="3" t="s">
        <v>396</v>
      </c>
      <c r="AZ24" s="3" t="s">
        <v>74</v>
      </c>
      <c r="BB24" s="3" t="s">
        <v>397</v>
      </c>
      <c r="BC24" s="3" t="s">
        <v>398</v>
      </c>
      <c r="BD24" s="3" t="s">
        <v>399</v>
      </c>
    </row>
    <row r="25" spans="1:56" ht="40.5" customHeight="1" x14ac:dyDescent="0.25">
      <c r="A25" s="7" t="s">
        <v>58</v>
      </c>
      <c r="B25" s="2" t="s">
        <v>400</v>
      </c>
      <c r="C25" s="2" t="s">
        <v>401</v>
      </c>
      <c r="D25" s="2" t="s">
        <v>402</v>
      </c>
      <c r="F25" s="3" t="s">
        <v>58</v>
      </c>
      <c r="G25" s="3" t="s">
        <v>59</v>
      </c>
      <c r="H25" s="3" t="s">
        <v>58</v>
      </c>
      <c r="I25" s="3" t="s">
        <v>58</v>
      </c>
      <c r="J25" s="3" t="s">
        <v>60</v>
      </c>
      <c r="K25" s="2" t="s">
        <v>403</v>
      </c>
      <c r="L25" s="2" t="s">
        <v>404</v>
      </c>
      <c r="M25" s="3" t="s">
        <v>405</v>
      </c>
      <c r="O25" s="3" t="s">
        <v>65</v>
      </c>
      <c r="P25" s="3" t="s">
        <v>112</v>
      </c>
      <c r="Q25" s="2" t="s">
        <v>406</v>
      </c>
      <c r="R25" s="3" t="s">
        <v>67</v>
      </c>
      <c r="S25" s="4">
        <v>1</v>
      </c>
      <c r="T25" s="4">
        <v>1</v>
      </c>
      <c r="U25" s="5" t="s">
        <v>215</v>
      </c>
      <c r="V25" s="5" t="s">
        <v>215</v>
      </c>
      <c r="W25" s="5" t="s">
        <v>407</v>
      </c>
      <c r="X25" s="5" t="s">
        <v>407</v>
      </c>
      <c r="Y25" s="4">
        <v>360</v>
      </c>
      <c r="Z25" s="4">
        <v>265</v>
      </c>
      <c r="AA25" s="4">
        <v>266</v>
      </c>
      <c r="AB25" s="4">
        <v>4</v>
      </c>
      <c r="AC25" s="4">
        <v>4</v>
      </c>
      <c r="AD25" s="4">
        <v>20</v>
      </c>
      <c r="AE25" s="4">
        <v>20</v>
      </c>
      <c r="AF25" s="4">
        <v>9</v>
      </c>
      <c r="AG25" s="4">
        <v>9</v>
      </c>
      <c r="AH25" s="4">
        <v>1</v>
      </c>
      <c r="AI25" s="4">
        <v>1</v>
      </c>
      <c r="AJ25" s="4">
        <v>12</v>
      </c>
      <c r="AK25" s="4">
        <v>12</v>
      </c>
      <c r="AL25" s="4">
        <v>3</v>
      </c>
      <c r="AM25" s="4">
        <v>3</v>
      </c>
      <c r="AN25" s="4">
        <v>0</v>
      </c>
      <c r="AO25" s="4">
        <v>0</v>
      </c>
      <c r="AP25" s="3" t="s">
        <v>58</v>
      </c>
      <c r="AQ25" s="3" t="s">
        <v>58</v>
      </c>
      <c r="AS25" s="6" t="str">
        <f>HYPERLINK("https://creighton-primo.hosted.exlibrisgroup.com/primo-explore/search?tab=default_tab&amp;search_scope=EVERYTHING&amp;vid=01CRU&amp;lang=en_US&amp;offset=0&amp;query=any,contains,991004120629702656","Catalog Record")</f>
        <v>Catalog Record</v>
      </c>
      <c r="AT25" s="6" t="str">
        <f>HYPERLINK("http://www.worldcat.org/oclc/2425178","WorldCat Record")</f>
        <v>WorldCat Record</v>
      </c>
      <c r="AU25" s="3" t="s">
        <v>408</v>
      </c>
      <c r="AV25" s="3" t="s">
        <v>409</v>
      </c>
      <c r="AW25" s="3" t="s">
        <v>410</v>
      </c>
      <c r="AX25" s="3" t="s">
        <v>410</v>
      </c>
      <c r="AY25" s="3" t="s">
        <v>411</v>
      </c>
      <c r="AZ25" s="3" t="s">
        <v>74</v>
      </c>
      <c r="BB25" s="3" t="s">
        <v>412</v>
      </c>
      <c r="BC25" s="3" t="s">
        <v>413</v>
      </c>
      <c r="BD25" s="3" t="s">
        <v>414</v>
      </c>
    </row>
    <row r="26" spans="1:56" ht="40.5" customHeight="1" x14ac:dyDescent="0.25">
      <c r="A26" s="7" t="s">
        <v>58</v>
      </c>
      <c r="B26" s="2" t="s">
        <v>415</v>
      </c>
      <c r="C26" s="2" t="s">
        <v>416</v>
      </c>
      <c r="D26" s="2" t="s">
        <v>417</v>
      </c>
      <c r="E26" s="3" t="s">
        <v>418</v>
      </c>
      <c r="F26" s="3" t="s">
        <v>80</v>
      </c>
      <c r="G26" s="3" t="s">
        <v>59</v>
      </c>
      <c r="H26" s="3" t="s">
        <v>58</v>
      </c>
      <c r="I26" s="3" t="s">
        <v>58</v>
      </c>
      <c r="J26" s="3" t="s">
        <v>60</v>
      </c>
      <c r="K26" s="2" t="s">
        <v>419</v>
      </c>
      <c r="L26" s="2" t="s">
        <v>420</v>
      </c>
      <c r="M26" s="3" t="s">
        <v>258</v>
      </c>
      <c r="O26" s="3" t="s">
        <v>65</v>
      </c>
      <c r="P26" s="3" t="s">
        <v>66</v>
      </c>
      <c r="R26" s="3" t="s">
        <v>67</v>
      </c>
      <c r="S26" s="4">
        <v>1</v>
      </c>
      <c r="T26" s="4">
        <v>3</v>
      </c>
      <c r="U26" s="5" t="s">
        <v>421</v>
      </c>
      <c r="V26" s="5" t="s">
        <v>421</v>
      </c>
      <c r="W26" s="5" t="s">
        <v>421</v>
      </c>
      <c r="X26" s="5" t="s">
        <v>421</v>
      </c>
      <c r="Y26" s="4">
        <v>964</v>
      </c>
      <c r="Z26" s="4">
        <v>931</v>
      </c>
      <c r="AA26" s="4">
        <v>1059</v>
      </c>
      <c r="AB26" s="4">
        <v>4</v>
      </c>
      <c r="AC26" s="4">
        <v>5</v>
      </c>
      <c r="AD26" s="4">
        <v>39</v>
      </c>
      <c r="AE26" s="4">
        <v>44</v>
      </c>
      <c r="AF26" s="4">
        <v>20</v>
      </c>
      <c r="AG26" s="4">
        <v>22</v>
      </c>
      <c r="AH26" s="4">
        <v>6</v>
      </c>
      <c r="AI26" s="4">
        <v>8</v>
      </c>
      <c r="AJ26" s="4">
        <v>20</v>
      </c>
      <c r="AK26" s="4">
        <v>21</v>
      </c>
      <c r="AL26" s="4">
        <v>3</v>
      </c>
      <c r="AM26" s="4">
        <v>4</v>
      </c>
      <c r="AN26" s="4">
        <v>0</v>
      </c>
      <c r="AO26" s="4">
        <v>0</v>
      </c>
      <c r="AP26" s="3" t="s">
        <v>58</v>
      </c>
      <c r="AQ26" s="3" t="s">
        <v>80</v>
      </c>
      <c r="AR26" s="6" t="str">
        <f>HYPERLINK("http://catalog.hathitrust.org/Record/004218827","HathiTrust Record")</f>
        <v>HathiTrust Record</v>
      </c>
      <c r="AS26" s="6" t="str">
        <f>HYPERLINK("https://creighton-primo.hosted.exlibrisgroup.com/primo-explore/search?tab=default_tab&amp;search_scope=EVERYTHING&amp;vid=01CRU&amp;lang=en_US&amp;offset=0&amp;query=any,contains,991003664389702656","Catalog Record")</f>
        <v>Catalog Record</v>
      </c>
      <c r="AT26" s="6" t="str">
        <f>HYPERLINK("http://www.worldcat.org/oclc/45636942","WorldCat Record")</f>
        <v>WorldCat Record</v>
      </c>
      <c r="AU26" s="3" t="s">
        <v>422</v>
      </c>
      <c r="AV26" s="3" t="s">
        <v>423</v>
      </c>
      <c r="AW26" s="3" t="s">
        <v>424</v>
      </c>
      <c r="AX26" s="3" t="s">
        <v>424</v>
      </c>
      <c r="AY26" s="3" t="s">
        <v>425</v>
      </c>
      <c r="AZ26" s="3" t="s">
        <v>74</v>
      </c>
      <c r="BB26" s="3" t="s">
        <v>426</v>
      </c>
      <c r="BC26" s="3" t="s">
        <v>427</v>
      </c>
      <c r="BD26" s="3" t="s">
        <v>428</v>
      </c>
    </row>
    <row r="27" spans="1:56" ht="40.5" customHeight="1" x14ac:dyDescent="0.25">
      <c r="A27" s="7" t="s">
        <v>58</v>
      </c>
      <c r="B27" s="2" t="s">
        <v>415</v>
      </c>
      <c r="C27" s="2" t="s">
        <v>416</v>
      </c>
      <c r="D27" s="2" t="s">
        <v>417</v>
      </c>
      <c r="E27" s="3" t="s">
        <v>429</v>
      </c>
      <c r="F27" s="3" t="s">
        <v>80</v>
      </c>
      <c r="G27" s="3" t="s">
        <v>59</v>
      </c>
      <c r="H27" s="3" t="s">
        <v>58</v>
      </c>
      <c r="I27" s="3" t="s">
        <v>58</v>
      </c>
      <c r="J27" s="3" t="s">
        <v>60</v>
      </c>
      <c r="K27" s="2" t="s">
        <v>419</v>
      </c>
      <c r="L27" s="2" t="s">
        <v>420</v>
      </c>
      <c r="M27" s="3" t="s">
        <v>258</v>
      </c>
      <c r="O27" s="3" t="s">
        <v>65</v>
      </c>
      <c r="P27" s="3" t="s">
        <v>66</v>
      </c>
      <c r="R27" s="3" t="s">
        <v>67</v>
      </c>
      <c r="S27" s="4">
        <v>1</v>
      </c>
      <c r="T27" s="4">
        <v>3</v>
      </c>
      <c r="U27" s="5" t="s">
        <v>421</v>
      </c>
      <c r="V27" s="5" t="s">
        <v>421</v>
      </c>
      <c r="W27" s="5" t="s">
        <v>421</v>
      </c>
      <c r="X27" s="5" t="s">
        <v>421</v>
      </c>
      <c r="Y27" s="4">
        <v>964</v>
      </c>
      <c r="Z27" s="4">
        <v>931</v>
      </c>
      <c r="AA27" s="4">
        <v>1059</v>
      </c>
      <c r="AB27" s="4">
        <v>4</v>
      </c>
      <c r="AC27" s="4">
        <v>5</v>
      </c>
      <c r="AD27" s="4">
        <v>39</v>
      </c>
      <c r="AE27" s="4">
        <v>44</v>
      </c>
      <c r="AF27" s="4">
        <v>20</v>
      </c>
      <c r="AG27" s="4">
        <v>22</v>
      </c>
      <c r="AH27" s="4">
        <v>6</v>
      </c>
      <c r="AI27" s="4">
        <v>8</v>
      </c>
      <c r="AJ27" s="4">
        <v>20</v>
      </c>
      <c r="AK27" s="4">
        <v>21</v>
      </c>
      <c r="AL27" s="4">
        <v>3</v>
      </c>
      <c r="AM27" s="4">
        <v>4</v>
      </c>
      <c r="AN27" s="4">
        <v>0</v>
      </c>
      <c r="AO27" s="4">
        <v>0</v>
      </c>
      <c r="AP27" s="3" t="s">
        <v>58</v>
      </c>
      <c r="AQ27" s="3" t="s">
        <v>80</v>
      </c>
      <c r="AR27" s="6" t="str">
        <f>HYPERLINK("http://catalog.hathitrust.org/Record/004218827","HathiTrust Record")</f>
        <v>HathiTrust Record</v>
      </c>
      <c r="AS27" s="6" t="str">
        <f>HYPERLINK("https://creighton-primo.hosted.exlibrisgroup.com/primo-explore/search?tab=default_tab&amp;search_scope=EVERYTHING&amp;vid=01CRU&amp;lang=en_US&amp;offset=0&amp;query=any,contains,991003664389702656","Catalog Record")</f>
        <v>Catalog Record</v>
      </c>
      <c r="AT27" s="6" t="str">
        <f>HYPERLINK("http://www.worldcat.org/oclc/45636942","WorldCat Record")</f>
        <v>WorldCat Record</v>
      </c>
      <c r="AU27" s="3" t="s">
        <v>422</v>
      </c>
      <c r="AV27" s="3" t="s">
        <v>423</v>
      </c>
      <c r="AW27" s="3" t="s">
        <v>424</v>
      </c>
      <c r="AX27" s="3" t="s">
        <v>424</v>
      </c>
      <c r="AY27" s="3" t="s">
        <v>425</v>
      </c>
      <c r="AZ27" s="3" t="s">
        <v>74</v>
      </c>
      <c r="BB27" s="3" t="s">
        <v>426</v>
      </c>
      <c r="BC27" s="3" t="s">
        <v>430</v>
      </c>
      <c r="BD27" s="3" t="s">
        <v>431</v>
      </c>
    </row>
    <row r="28" spans="1:56" ht="40.5" customHeight="1" x14ac:dyDescent="0.25">
      <c r="A28" s="7" t="s">
        <v>58</v>
      </c>
      <c r="B28" s="2" t="s">
        <v>415</v>
      </c>
      <c r="C28" s="2" t="s">
        <v>416</v>
      </c>
      <c r="D28" s="2" t="s">
        <v>417</v>
      </c>
      <c r="E28" s="3" t="s">
        <v>432</v>
      </c>
      <c r="F28" s="3" t="s">
        <v>80</v>
      </c>
      <c r="G28" s="3" t="s">
        <v>59</v>
      </c>
      <c r="H28" s="3" t="s">
        <v>58</v>
      </c>
      <c r="I28" s="3" t="s">
        <v>58</v>
      </c>
      <c r="J28" s="3" t="s">
        <v>60</v>
      </c>
      <c r="K28" s="2" t="s">
        <v>419</v>
      </c>
      <c r="L28" s="2" t="s">
        <v>420</v>
      </c>
      <c r="M28" s="3" t="s">
        <v>258</v>
      </c>
      <c r="O28" s="3" t="s">
        <v>65</v>
      </c>
      <c r="P28" s="3" t="s">
        <v>66</v>
      </c>
      <c r="R28" s="3" t="s">
        <v>67</v>
      </c>
      <c r="S28" s="4">
        <v>1</v>
      </c>
      <c r="T28" s="4">
        <v>3</v>
      </c>
      <c r="U28" s="5" t="s">
        <v>421</v>
      </c>
      <c r="V28" s="5" t="s">
        <v>421</v>
      </c>
      <c r="W28" s="5" t="s">
        <v>421</v>
      </c>
      <c r="X28" s="5" t="s">
        <v>421</v>
      </c>
      <c r="Y28" s="4">
        <v>964</v>
      </c>
      <c r="Z28" s="4">
        <v>931</v>
      </c>
      <c r="AA28" s="4">
        <v>1059</v>
      </c>
      <c r="AB28" s="4">
        <v>4</v>
      </c>
      <c r="AC28" s="4">
        <v>5</v>
      </c>
      <c r="AD28" s="4">
        <v>39</v>
      </c>
      <c r="AE28" s="4">
        <v>44</v>
      </c>
      <c r="AF28" s="4">
        <v>20</v>
      </c>
      <c r="AG28" s="4">
        <v>22</v>
      </c>
      <c r="AH28" s="4">
        <v>6</v>
      </c>
      <c r="AI28" s="4">
        <v>8</v>
      </c>
      <c r="AJ28" s="4">
        <v>20</v>
      </c>
      <c r="AK28" s="4">
        <v>21</v>
      </c>
      <c r="AL28" s="4">
        <v>3</v>
      </c>
      <c r="AM28" s="4">
        <v>4</v>
      </c>
      <c r="AN28" s="4">
        <v>0</v>
      </c>
      <c r="AO28" s="4">
        <v>0</v>
      </c>
      <c r="AP28" s="3" t="s">
        <v>58</v>
      </c>
      <c r="AQ28" s="3" t="s">
        <v>80</v>
      </c>
      <c r="AR28" s="6" t="str">
        <f>HYPERLINK("http://catalog.hathitrust.org/Record/004218827","HathiTrust Record")</f>
        <v>HathiTrust Record</v>
      </c>
      <c r="AS28" s="6" t="str">
        <f>HYPERLINK("https://creighton-primo.hosted.exlibrisgroup.com/primo-explore/search?tab=default_tab&amp;search_scope=EVERYTHING&amp;vid=01CRU&amp;lang=en_US&amp;offset=0&amp;query=any,contains,991003664389702656","Catalog Record")</f>
        <v>Catalog Record</v>
      </c>
      <c r="AT28" s="6" t="str">
        <f>HYPERLINK("http://www.worldcat.org/oclc/45636942","WorldCat Record")</f>
        <v>WorldCat Record</v>
      </c>
      <c r="AU28" s="3" t="s">
        <v>422</v>
      </c>
      <c r="AV28" s="3" t="s">
        <v>423</v>
      </c>
      <c r="AW28" s="3" t="s">
        <v>424</v>
      </c>
      <c r="AX28" s="3" t="s">
        <v>424</v>
      </c>
      <c r="AY28" s="3" t="s">
        <v>425</v>
      </c>
      <c r="AZ28" s="3" t="s">
        <v>74</v>
      </c>
      <c r="BB28" s="3" t="s">
        <v>426</v>
      </c>
      <c r="BC28" s="3" t="s">
        <v>433</v>
      </c>
      <c r="BD28" s="3" t="s">
        <v>434</v>
      </c>
    </row>
    <row r="29" spans="1:56" ht="40.5" customHeight="1" x14ac:dyDescent="0.25">
      <c r="A29" s="7" t="s">
        <v>58</v>
      </c>
      <c r="B29" s="2" t="s">
        <v>435</v>
      </c>
      <c r="C29" s="2" t="s">
        <v>436</v>
      </c>
      <c r="D29" s="2" t="s">
        <v>437</v>
      </c>
      <c r="F29" s="3" t="s">
        <v>58</v>
      </c>
      <c r="G29" s="3" t="s">
        <v>59</v>
      </c>
      <c r="H29" s="3" t="s">
        <v>58</v>
      </c>
      <c r="I29" s="3" t="s">
        <v>58</v>
      </c>
      <c r="J29" s="3" t="s">
        <v>60</v>
      </c>
      <c r="L29" s="2" t="s">
        <v>438</v>
      </c>
      <c r="M29" s="3" t="s">
        <v>274</v>
      </c>
      <c r="O29" s="3" t="s">
        <v>65</v>
      </c>
      <c r="P29" s="3" t="s">
        <v>244</v>
      </c>
      <c r="R29" s="3" t="s">
        <v>67</v>
      </c>
      <c r="S29" s="4">
        <v>1</v>
      </c>
      <c r="T29" s="4">
        <v>1</v>
      </c>
      <c r="U29" s="5" t="s">
        <v>439</v>
      </c>
      <c r="V29" s="5" t="s">
        <v>439</v>
      </c>
      <c r="W29" s="5" t="s">
        <v>439</v>
      </c>
      <c r="X29" s="5" t="s">
        <v>439</v>
      </c>
      <c r="Y29" s="4">
        <v>209</v>
      </c>
      <c r="Z29" s="4">
        <v>197</v>
      </c>
      <c r="AA29" s="4">
        <v>256</v>
      </c>
      <c r="AB29" s="4">
        <v>2</v>
      </c>
      <c r="AC29" s="4">
        <v>4</v>
      </c>
      <c r="AD29" s="4">
        <v>13</v>
      </c>
      <c r="AE29" s="4">
        <v>18</v>
      </c>
      <c r="AF29" s="4">
        <v>4</v>
      </c>
      <c r="AG29" s="4">
        <v>5</v>
      </c>
      <c r="AH29" s="4">
        <v>3</v>
      </c>
      <c r="AI29" s="4">
        <v>3</v>
      </c>
      <c r="AJ29" s="4">
        <v>9</v>
      </c>
      <c r="AK29" s="4">
        <v>10</v>
      </c>
      <c r="AL29" s="4">
        <v>1</v>
      </c>
      <c r="AM29" s="4">
        <v>3</v>
      </c>
      <c r="AN29" s="4">
        <v>1</v>
      </c>
      <c r="AO29" s="4">
        <v>2</v>
      </c>
      <c r="AP29" s="3" t="s">
        <v>58</v>
      </c>
      <c r="AQ29" s="3" t="s">
        <v>58</v>
      </c>
      <c r="AS29" s="6" t="str">
        <f>HYPERLINK("https://creighton-primo.hosted.exlibrisgroup.com/primo-explore/search?tab=default_tab&amp;search_scope=EVERYTHING&amp;vid=01CRU&amp;lang=en_US&amp;offset=0&amp;query=any,contains,991003353939702656","Catalog Record")</f>
        <v>Catalog Record</v>
      </c>
      <c r="AT29" s="6" t="str">
        <f>HYPERLINK("http://www.worldcat.org/oclc/47625153","WorldCat Record")</f>
        <v>WorldCat Record</v>
      </c>
      <c r="AU29" s="3" t="s">
        <v>440</v>
      </c>
      <c r="AV29" s="3" t="s">
        <v>441</v>
      </c>
      <c r="AW29" s="3" t="s">
        <v>442</v>
      </c>
      <c r="AX29" s="3" t="s">
        <v>442</v>
      </c>
      <c r="AY29" s="3" t="s">
        <v>443</v>
      </c>
      <c r="AZ29" s="3" t="s">
        <v>74</v>
      </c>
      <c r="BB29" s="3" t="s">
        <v>444</v>
      </c>
      <c r="BC29" s="3" t="s">
        <v>445</v>
      </c>
      <c r="BD29" s="3" t="s">
        <v>446</v>
      </c>
    </row>
    <row r="30" spans="1:56" ht="40.5" customHeight="1" x14ac:dyDescent="0.25">
      <c r="A30" s="7" t="s">
        <v>58</v>
      </c>
      <c r="B30" s="2" t="s">
        <v>447</v>
      </c>
      <c r="C30" s="2" t="s">
        <v>448</v>
      </c>
      <c r="D30" s="2" t="s">
        <v>449</v>
      </c>
      <c r="F30" s="3" t="s">
        <v>58</v>
      </c>
      <c r="G30" s="3" t="s">
        <v>59</v>
      </c>
      <c r="H30" s="3" t="s">
        <v>58</v>
      </c>
      <c r="I30" s="3" t="s">
        <v>58</v>
      </c>
      <c r="J30" s="3" t="s">
        <v>60</v>
      </c>
      <c r="K30" s="2" t="s">
        <v>450</v>
      </c>
      <c r="L30" s="2" t="s">
        <v>451</v>
      </c>
      <c r="M30" s="3" t="s">
        <v>139</v>
      </c>
      <c r="O30" s="3" t="s">
        <v>65</v>
      </c>
      <c r="P30" s="3" t="s">
        <v>112</v>
      </c>
      <c r="R30" s="3" t="s">
        <v>67</v>
      </c>
      <c r="S30" s="4">
        <v>1</v>
      </c>
      <c r="T30" s="4">
        <v>1</v>
      </c>
      <c r="U30" s="5" t="s">
        <v>452</v>
      </c>
      <c r="V30" s="5" t="s">
        <v>452</v>
      </c>
      <c r="W30" s="5" t="s">
        <v>452</v>
      </c>
      <c r="X30" s="5" t="s">
        <v>452</v>
      </c>
      <c r="Y30" s="4">
        <v>412</v>
      </c>
      <c r="Z30" s="4">
        <v>317</v>
      </c>
      <c r="AA30" s="4">
        <v>614</v>
      </c>
      <c r="AB30" s="4">
        <v>2</v>
      </c>
      <c r="AC30" s="4">
        <v>5</v>
      </c>
      <c r="AD30" s="4">
        <v>16</v>
      </c>
      <c r="AE30" s="4">
        <v>29</v>
      </c>
      <c r="AF30" s="4">
        <v>5</v>
      </c>
      <c r="AG30" s="4">
        <v>11</v>
      </c>
      <c r="AH30" s="4">
        <v>5</v>
      </c>
      <c r="AI30" s="4">
        <v>9</v>
      </c>
      <c r="AJ30" s="4">
        <v>12</v>
      </c>
      <c r="AK30" s="4">
        <v>15</v>
      </c>
      <c r="AL30" s="4">
        <v>1</v>
      </c>
      <c r="AM30" s="4">
        <v>3</v>
      </c>
      <c r="AN30" s="4">
        <v>0</v>
      </c>
      <c r="AO30" s="4">
        <v>0</v>
      </c>
      <c r="AP30" s="3" t="s">
        <v>58</v>
      </c>
      <c r="AQ30" s="3" t="s">
        <v>58</v>
      </c>
      <c r="AS30" s="6" t="str">
        <f>HYPERLINK("https://creighton-primo.hosted.exlibrisgroup.com/primo-explore/search?tab=default_tab&amp;search_scope=EVERYTHING&amp;vid=01CRU&amp;lang=en_US&amp;offset=0&amp;query=any,contains,991003904189702656","Catalog Record")</f>
        <v>Catalog Record</v>
      </c>
      <c r="AT30" s="6" t="str">
        <f>HYPERLINK("http://www.worldcat.org/oclc/17227833","WorldCat Record")</f>
        <v>WorldCat Record</v>
      </c>
      <c r="AU30" s="3" t="s">
        <v>453</v>
      </c>
      <c r="AV30" s="3" t="s">
        <v>454</v>
      </c>
      <c r="AW30" s="3" t="s">
        <v>455</v>
      </c>
      <c r="AX30" s="3" t="s">
        <v>455</v>
      </c>
      <c r="AY30" s="3" t="s">
        <v>456</v>
      </c>
      <c r="AZ30" s="3" t="s">
        <v>74</v>
      </c>
      <c r="BB30" s="3" t="s">
        <v>457</v>
      </c>
      <c r="BC30" s="3" t="s">
        <v>458</v>
      </c>
      <c r="BD30" s="3" t="s">
        <v>459</v>
      </c>
    </row>
    <row r="31" spans="1:56" ht="40.5" customHeight="1" x14ac:dyDescent="0.25">
      <c r="A31" s="7" t="s">
        <v>58</v>
      </c>
      <c r="B31" s="2" t="s">
        <v>460</v>
      </c>
      <c r="C31" s="2" t="s">
        <v>461</v>
      </c>
      <c r="D31" s="2" t="s">
        <v>462</v>
      </c>
      <c r="F31" s="3" t="s">
        <v>58</v>
      </c>
      <c r="G31" s="3" t="s">
        <v>59</v>
      </c>
      <c r="H31" s="3" t="s">
        <v>58</v>
      </c>
      <c r="I31" s="3" t="s">
        <v>58</v>
      </c>
      <c r="J31" s="3" t="s">
        <v>60</v>
      </c>
      <c r="K31" s="2" t="s">
        <v>463</v>
      </c>
      <c r="L31" s="2" t="s">
        <v>464</v>
      </c>
      <c r="M31" s="3" t="s">
        <v>154</v>
      </c>
      <c r="O31" s="3" t="s">
        <v>65</v>
      </c>
      <c r="P31" s="3" t="s">
        <v>275</v>
      </c>
      <c r="Q31" s="2" t="s">
        <v>465</v>
      </c>
      <c r="R31" s="3" t="s">
        <v>67</v>
      </c>
      <c r="S31" s="4">
        <v>1</v>
      </c>
      <c r="T31" s="4">
        <v>1</v>
      </c>
      <c r="U31" s="5" t="s">
        <v>466</v>
      </c>
      <c r="V31" s="5" t="s">
        <v>466</v>
      </c>
      <c r="W31" s="5" t="s">
        <v>336</v>
      </c>
      <c r="X31" s="5" t="s">
        <v>336</v>
      </c>
      <c r="Y31" s="4">
        <v>404</v>
      </c>
      <c r="Z31" s="4">
        <v>294</v>
      </c>
      <c r="AA31" s="4">
        <v>305</v>
      </c>
      <c r="AB31" s="4">
        <v>3</v>
      </c>
      <c r="AC31" s="4">
        <v>3</v>
      </c>
      <c r="AD31" s="4">
        <v>12</v>
      </c>
      <c r="AE31" s="4">
        <v>12</v>
      </c>
      <c r="AF31" s="4">
        <v>4</v>
      </c>
      <c r="AG31" s="4">
        <v>4</v>
      </c>
      <c r="AH31" s="4">
        <v>2</v>
      </c>
      <c r="AI31" s="4">
        <v>2</v>
      </c>
      <c r="AJ31" s="4">
        <v>6</v>
      </c>
      <c r="AK31" s="4">
        <v>6</v>
      </c>
      <c r="AL31" s="4">
        <v>2</v>
      </c>
      <c r="AM31" s="4">
        <v>2</v>
      </c>
      <c r="AN31" s="4">
        <v>0</v>
      </c>
      <c r="AO31" s="4">
        <v>0</v>
      </c>
      <c r="AP31" s="3" t="s">
        <v>58</v>
      </c>
      <c r="AQ31" s="3" t="s">
        <v>80</v>
      </c>
      <c r="AR31" s="6" t="str">
        <f>HYPERLINK("http://catalog.hathitrust.org/Record/000002207","HathiTrust Record")</f>
        <v>HathiTrust Record</v>
      </c>
      <c r="AS31" s="6" t="str">
        <f>HYPERLINK("https://creighton-primo.hosted.exlibrisgroup.com/primo-explore/search?tab=default_tab&amp;search_scope=EVERYTHING&amp;vid=01CRU&amp;lang=en_US&amp;offset=0&amp;query=any,contains,991000833669702656","Catalog Record")</f>
        <v>Catalog Record</v>
      </c>
      <c r="AT31" s="6" t="str">
        <f>HYPERLINK("http://www.worldcat.org/oclc/148338","WorldCat Record")</f>
        <v>WorldCat Record</v>
      </c>
      <c r="AU31" s="3" t="s">
        <v>467</v>
      </c>
      <c r="AV31" s="3" t="s">
        <v>468</v>
      </c>
      <c r="AW31" s="3" t="s">
        <v>469</v>
      </c>
      <c r="AX31" s="3" t="s">
        <v>469</v>
      </c>
      <c r="AY31" s="3" t="s">
        <v>470</v>
      </c>
      <c r="AZ31" s="3" t="s">
        <v>74</v>
      </c>
      <c r="BB31" s="3" t="s">
        <v>471</v>
      </c>
      <c r="BC31" s="3" t="s">
        <v>472</v>
      </c>
      <c r="BD31" s="3" t="s">
        <v>473</v>
      </c>
    </row>
    <row r="32" spans="1:56" ht="40.5" customHeight="1" x14ac:dyDescent="0.25">
      <c r="A32" s="7" t="s">
        <v>58</v>
      </c>
      <c r="B32" s="2" t="s">
        <v>474</v>
      </c>
      <c r="C32" s="2" t="s">
        <v>475</v>
      </c>
      <c r="D32" s="2" t="s">
        <v>476</v>
      </c>
      <c r="F32" s="3" t="s">
        <v>58</v>
      </c>
      <c r="G32" s="3" t="s">
        <v>59</v>
      </c>
      <c r="H32" s="3" t="s">
        <v>58</v>
      </c>
      <c r="I32" s="3" t="s">
        <v>58</v>
      </c>
      <c r="J32" s="3" t="s">
        <v>60</v>
      </c>
      <c r="K32" s="2" t="s">
        <v>477</v>
      </c>
      <c r="L32" s="2" t="s">
        <v>478</v>
      </c>
      <c r="M32" s="3" t="s">
        <v>479</v>
      </c>
      <c r="O32" s="3" t="s">
        <v>65</v>
      </c>
      <c r="P32" s="3" t="s">
        <v>275</v>
      </c>
      <c r="R32" s="3" t="s">
        <v>67</v>
      </c>
      <c r="S32" s="4">
        <v>1</v>
      </c>
      <c r="T32" s="4">
        <v>1</v>
      </c>
      <c r="U32" s="5" t="s">
        <v>480</v>
      </c>
      <c r="V32" s="5" t="s">
        <v>480</v>
      </c>
      <c r="W32" s="5" t="s">
        <v>336</v>
      </c>
      <c r="X32" s="5" t="s">
        <v>336</v>
      </c>
      <c r="Y32" s="4">
        <v>339</v>
      </c>
      <c r="Z32" s="4">
        <v>220</v>
      </c>
      <c r="AA32" s="4">
        <v>293</v>
      </c>
      <c r="AB32" s="4">
        <v>2</v>
      </c>
      <c r="AC32" s="4">
        <v>2</v>
      </c>
      <c r="AD32" s="4">
        <v>14</v>
      </c>
      <c r="AE32" s="4">
        <v>16</v>
      </c>
      <c r="AF32" s="4">
        <v>3</v>
      </c>
      <c r="AG32" s="4">
        <v>4</v>
      </c>
      <c r="AH32" s="4">
        <v>3</v>
      </c>
      <c r="AI32" s="4">
        <v>4</v>
      </c>
      <c r="AJ32" s="4">
        <v>9</v>
      </c>
      <c r="AK32" s="4">
        <v>10</v>
      </c>
      <c r="AL32" s="4">
        <v>1</v>
      </c>
      <c r="AM32" s="4">
        <v>1</v>
      </c>
      <c r="AN32" s="4">
        <v>0</v>
      </c>
      <c r="AO32" s="4">
        <v>0</v>
      </c>
      <c r="AP32" s="3" t="s">
        <v>58</v>
      </c>
      <c r="AQ32" s="3" t="s">
        <v>80</v>
      </c>
      <c r="AR32" s="6" t="str">
        <f>HYPERLINK("http://catalog.hathitrust.org/Record/001128820","HathiTrust Record")</f>
        <v>HathiTrust Record</v>
      </c>
      <c r="AS32" s="6" t="str">
        <f>HYPERLINK("https://creighton-primo.hosted.exlibrisgroup.com/primo-explore/search?tab=default_tab&amp;search_scope=EVERYTHING&amp;vid=01CRU&amp;lang=en_US&amp;offset=0&amp;query=any,contains,991003797709702656","Catalog Record")</f>
        <v>Catalog Record</v>
      </c>
      <c r="AT32" s="6" t="str">
        <f>HYPERLINK("http://www.worldcat.org/oclc/1522353","WorldCat Record")</f>
        <v>WorldCat Record</v>
      </c>
      <c r="AU32" s="3" t="s">
        <v>481</v>
      </c>
      <c r="AV32" s="3" t="s">
        <v>482</v>
      </c>
      <c r="AW32" s="3" t="s">
        <v>483</v>
      </c>
      <c r="AX32" s="3" t="s">
        <v>483</v>
      </c>
      <c r="AY32" s="3" t="s">
        <v>484</v>
      </c>
      <c r="AZ32" s="3" t="s">
        <v>74</v>
      </c>
      <c r="BC32" s="3" t="s">
        <v>485</v>
      </c>
      <c r="BD32" s="3" t="s">
        <v>486</v>
      </c>
    </row>
    <row r="33" spans="1:56" ht="40.5" customHeight="1" x14ac:dyDescent="0.25">
      <c r="A33" s="7" t="s">
        <v>58</v>
      </c>
      <c r="B33" s="2" t="s">
        <v>487</v>
      </c>
      <c r="C33" s="2" t="s">
        <v>488</v>
      </c>
      <c r="D33" s="2" t="s">
        <v>489</v>
      </c>
      <c r="F33" s="3" t="s">
        <v>58</v>
      </c>
      <c r="G33" s="3" t="s">
        <v>59</v>
      </c>
      <c r="H33" s="3" t="s">
        <v>58</v>
      </c>
      <c r="I33" s="3" t="s">
        <v>58</v>
      </c>
      <c r="J33" s="3" t="s">
        <v>60</v>
      </c>
      <c r="L33" s="2" t="s">
        <v>490</v>
      </c>
      <c r="M33" s="3" t="s">
        <v>196</v>
      </c>
      <c r="O33" s="3" t="s">
        <v>65</v>
      </c>
      <c r="P33" s="3" t="s">
        <v>491</v>
      </c>
      <c r="R33" s="3" t="s">
        <v>67</v>
      </c>
      <c r="S33" s="4">
        <v>1</v>
      </c>
      <c r="T33" s="4">
        <v>1</v>
      </c>
      <c r="U33" s="5" t="s">
        <v>492</v>
      </c>
      <c r="V33" s="5" t="s">
        <v>492</v>
      </c>
      <c r="W33" s="5" t="s">
        <v>492</v>
      </c>
      <c r="X33" s="5" t="s">
        <v>492</v>
      </c>
      <c r="Y33" s="4">
        <v>178</v>
      </c>
      <c r="Z33" s="4">
        <v>121</v>
      </c>
      <c r="AA33" s="4">
        <v>122</v>
      </c>
      <c r="AB33" s="4">
        <v>3</v>
      </c>
      <c r="AC33" s="4">
        <v>3</v>
      </c>
      <c r="AD33" s="4">
        <v>6</v>
      </c>
      <c r="AE33" s="4">
        <v>6</v>
      </c>
      <c r="AF33" s="4">
        <v>1</v>
      </c>
      <c r="AG33" s="4">
        <v>1</v>
      </c>
      <c r="AH33" s="4">
        <v>3</v>
      </c>
      <c r="AI33" s="4">
        <v>3</v>
      </c>
      <c r="AJ33" s="4">
        <v>2</v>
      </c>
      <c r="AK33" s="4">
        <v>2</v>
      </c>
      <c r="AL33" s="4">
        <v>2</v>
      </c>
      <c r="AM33" s="4">
        <v>2</v>
      </c>
      <c r="AN33" s="4">
        <v>0</v>
      </c>
      <c r="AO33" s="4">
        <v>0</v>
      </c>
      <c r="AP33" s="3" t="s">
        <v>58</v>
      </c>
      <c r="AQ33" s="3" t="s">
        <v>58</v>
      </c>
      <c r="AS33" s="6" t="str">
        <f>HYPERLINK("https://creighton-primo.hosted.exlibrisgroup.com/primo-explore/search?tab=default_tab&amp;search_scope=EVERYTHING&amp;vid=01CRU&amp;lang=en_US&amp;offset=0&amp;query=any,contains,991003318809702656","Catalog Record")</f>
        <v>Catalog Record</v>
      </c>
      <c r="AT33" s="6" t="str">
        <f>HYPERLINK("http://www.worldcat.org/oclc/44134497","WorldCat Record")</f>
        <v>WorldCat Record</v>
      </c>
      <c r="AU33" s="3" t="s">
        <v>493</v>
      </c>
      <c r="AV33" s="3" t="s">
        <v>494</v>
      </c>
      <c r="AW33" s="3" t="s">
        <v>495</v>
      </c>
      <c r="AX33" s="3" t="s">
        <v>495</v>
      </c>
      <c r="AY33" s="3" t="s">
        <v>496</v>
      </c>
      <c r="AZ33" s="3" t="s">
        <v>74</v>
      </c>
      <c r="BB33" s="3" t="s">
        <v>497</v>
      </c>
      <c r="BC33" s="3" t="s">
        <v>498</v>
      </c>
      <c r="BD33" s="3" t="s">
        <v>499</v>
      </c>
    </row>
    <row r="34" spans="1:56" ht="40.5" customHeight="1" x14ac:dyDescent="0.25">
      <c r="A34" s="7" t="s">
        <v>58</v>
      </c>
      <c r="B34" s="2" t="s">
        <v>500</v>
      </c>
      <c r="C34" s="2" t="s">
        <v>501</v>
      </c>
      <c r="D34" s="2" t="s">
        <v>502</v>
      </c>
      <c r="F34" s="3" t="s">
        <v>58</v>
      </c>
      <c r="G34" s="3" t="s">
        <v>59</v>
      </c>
      <c r="H34" s="3" t="s">
        <v>58</v>
      </c>
      <c r="I34" s="3" t="s">
        <v>58</v>
      </c>
      <c r="J34" s="3" t="s">
        <v>60</v>
      </c>
      <c r="K34" s="2" t="s">
        <v>503</v>
      </c>
      <c r="L34" s="2" t="s">
        <v>504</v>
      </c>
      <c r="M34" s="3" t="s">
        <v>303</v>
      </c>
      <c r="O34" s="3" t="s">
        <v>65</v>
      </c>
      <c r="P34" s="3" t="s">
        <v>66</v>
      </c>
      <c r="R34" s="3" t="s">
        <v>67</v>
      </c>
      <c r="S34" s="4">
        <v>1</v>
      </c>
      <c r="T34" s="4">
        <v>1</v>
      </c>
      <c r="U34" s="5" t="s">
        <v>505</v>
      </c>
      <c r="V34" s="5" t="s">
        <v>505</v>
      </c>
      <c r="W34" s="5" t="s">
        <v>505</v>
      </c>
      <c r="X34" s="5" t="s">
        <v>505</v>
      </c>
      <c r="Y34" s="4">
        <v>504</v>
      </c>
      <c r="Z34" s="4">
        <v>496</v>
      </c>
      <c r="AA34" s="4">
        <v>1160</v>
      </c>
      <c r="AB34" s="4">
        <v>2</v>
      </c>
      <c r="AC34" s="4">
        <v>23</v>
      </c>
      <c r="AD34" s="4">
        <v>0</v>
      </c>
      <c r="AE34" s="4">
        <v>15</v>
      </c>
      <c r="AF34" s="4">
        <v>0</v>
      </c>
      <c r="AG34" s="4">
        <v>5</v>
      </c>
      <c r="AH34" s="4">
        <v>0</v>
      </c>
      <c r="AI34" s="4">
        <v>1</v>
      </c>
      <c r="AJ34" s="4">
        <v>0</v>
      </c>
      <c r="AK34" s="4">
        <v>1</v>
      </c>
      <c r="AL34" s="4">
        <v>0</v>
      </c>
      <c r="AM34" s="4">
        <v>10</v>
      </c>
      <c r="AN34" s="4">
        <v>0</v>
      </c>
      <c r="AO34" s="4">
        <v>0</v>
      </c>
      <c r="AP34" s="3" t="s">
        <v>58</v>
      </c>
      <c r="AQ34" s="3" t="s">
        <v>58</v>
      </c>
      <c r="AS34" s="6" t="str">
        <f>HYPERLINK("https://creighton-primo.hosted.exlibrisgroup.com/primo-explore/search?tab=default_tab&amp;search_scope=EVERYTHING&amp;vid=01CRU&amp;lang=en_US&amp;offset=0&amp;query=any,contains,991005267379702656","Catalog Record")</f>
        <v>Catalog Record</v>
      </c>
      <c r="AT34" s="6" t="str">
        <f>HYPERLINK("http://www.worldcat.org/oclc/227033750","WorldCat Record")</f>
        <v>WorldCat Record</v>
      </c>
      <c r="AU34" s="3" t="s">
        <v>506</v>
      </c>
      <c r="AV34" s="3" t="s">
        <v>507</v>
      </c>
      <c r="AW34" s="3" t="s">
        <v>508</v>
      </c>
      <c r="AX34" s="3" t="s">
        <v>508</v>
      </c>
      <c r="AY34" s="3" t="s">
        <v>509</v>
      </c>
      <c r="AZ34" s="3" t="s">
        <v>74</v>
      </c>
      <c r="BB34" s="3" t="s">
        <v>510</v>
      </c>
      <c r="BC34" s="3" t="s">
        <v>511</v>
      </c>
      <c r="BD34" s="3" t="s">
        <v>512</v>
      </c>
    </row>
    <row r="35" spans="1:56" ht="40.5" customHeight="1" x14ac:dyDescent="0.25">
      <c r="A35" s="7" t="s">
        <v>58</v>
      </c>
      <c r="B35" s="2" t="s">
        <v>513</v>
      </c>
      <c r="C35" s="2" t="s">
        <v>514</v>
      </c>
      <c r="D35" s="2" t="s">
        <v>515</v>
      </c>
      <c r="F35" s="3" t="s">
        <v>58</v>
      </c>
      <c r="G35" s="3" t="s">
        <v>59</v>
      </c>
      <c r="H35" s="3" t="s">
        <v>58</v>
      </c>
      <c r="I35" s="3" t="s">
        <v>58</v>
      </c>
      <c r="J35" s="3" t="s">
        <v>60</v>
      </c>
      <c r="K35" s="2" t="s">
        <v>516</v>
      </c>
      <c r="L35" s="2" t="s">
        <v>517</v>
      </c>
      <c r="M35" s="3" t="s">
        <v>518</v>
      </c>
      <c r="O35" s="3" t="s">
        <v>65</v>
      </c>
      <c r="P35" s="3" t="s">
        <v>66</v>
      </c>
      <c r="R35" s="3" t="s">
        <v>67</v>
      </c>
      <c r="S35" s="4">
        <v>1</v>
      </c>
      <c r="T35" s="4">
        <v>1</v>
      </c>
      <c r="U35" s="5" t="s">
        <v>519</v>
      </c>
      <c r="V35" s="5" t="s">
        <v>519</v>
      </c>
      <c r="W35" s="5" t="s">
        <v>519</v>
      </c>
      <c r="X35" s="5" t="s">
        <v>519</v>
      </c>
      <c r="Y35" s="4">
        <v>89</v>
      </c>
      <c r="Z35" s="4">
        <v>81</v>
      </c>
      <c r="AA35" s="4">
        <v>1043</v>
      </c>
      <c r="AB35" s="4">
        <v>2</v>
      </c>
      <c r="AC35" s="4">
        <v>17</v>
      </c>
      <c r="AD35" s="4">
        <v>4</v>
      </c>
      <c r="AE35" s="4">
        <v>36</v>
      </c>
      <c r="AF35" s="4">
        <v>2</v>
      </c>
      <c r="AG35" s="4">
        <v>14</v>
      </c>
      <c r="AH35" s="4">
        <v>1</v>
      </c>
      <c r="AI35" s="4">
        <v>5</v>
      </c>
      <c r="AJ35" s="4">
        <v>1</v>
      </c>
      <c r="AK35" s="4">
        <v>9</v>
      </c>
      <c r="AL35" s="4">
        <v>1</v>
      </c>
      <c r="AM35" s="4">
        <v>12</v>
      </c>
      <c r="AN35" s="4">
        <v>0</v>
      </c>
      <c r="AO35" s="4">
        <v>1</v>
      </c>
      <c r="AP35" s="3" t="s">
        <v>58</v>
      </c>
      <c r="AQ35" s="3" t="s">
        <v>58</v>
      </c>
      <c r="AS35" s="6" t="str">
        <f>HYPERLINK("https://creighton-primo.hosted.exlibrisgroup.com/primo-explore/search?tab=default_tab&amp;search_scope=EVERYTHING&amp;vid=01CRU&amp;lang=en_US&amp;offset=0&amp;query=any,contains,991005171769702656","Catalog Record")</f>
        <v>Catalog Record</v>
      </c>
      <c r="AT35" s="6" t="str">
        <f>HYPERLINK("http://www.worldcat.org/oclc/165082609","WorldCat Record")</f>
        <v>WorldCat Record</v>
      </c>
      <c r="AU35" s="3" t="s">
        <v>520</v>
      </c>
      <c r="AV35" s="3" t="s">
        <v>521</v>
      </c>
      <c r="AW35" s="3" t="s">
        <v>522</v>
      </c>
      <c r="AX35" s="3" t="s">
        <v>522</v>
      </c>
      <c r="AY35" s="3" t="s">
        <v>523</v>
      </c>
      <c r="AZ35" s="3" t="s">
        <v>74</v>
      </c>
      <c r="BB35" s="3" t="s">
        <v>524</v>
      </c>
      <c r="BC35" s="3" t="s">
        <v>525</v>
      </c>
      <c r="BD35" s="3" t="s">
        <v>526</v>
      </c>
    </row>
    <row r="36" spans="1:56" ht="40.5" customHeight="1" x14ac:dyDescent="0.25">
      <c r="A36" s="7" t="s">
        <v>58</v>
      </c>
      <c r="B36" s="2" t="s">
        <v>527</v>
      </c>
      <c r="C36" s="2" t="s">
        <v>528</v>
      </c>
      <c r="D36" s="2" t="s">
        <v>529</v>
      </c>
      <c r="F36" s="3" t="s">
        <v>58</v>
      </c>
      <c r="G36" s="3" t="s">
        <v>59</v>
      </c>
      <c r="H36" s="3" t="s">
        <v>58</v>
      </c>
      <c r="I36" s="3" t="s">
        <v>58</v>
      </c>
      <c r="J36" s="3" t="s">
        <v>60</v>
      </c>
      <c r="K36" s="2" t="s">
        <v>530</v>
      </c>
      <c r="L36" s="2" t="s">
        <v>531</v>
      </c>
      <c r="M36" s="3" t="s">
        <v>532</v>
      </c>
      <c r="O36" s="3" t="s">
        <v>65</v>
      </c>
      <c r="P36" s="3" t="s">
        <v>169</v>
      </c>
      <c r="R36" s="3" t="s">
        <v>67</v>
      </c>
      <c r="S36" s="4">
        <v>1</v>
      </c>
      <c r="T36" s="4">
        <v>1</v>
      </c>
      <c r="U36" s="5" t="s">
        <v>533</v>
      </c>
      <c r="V36" s="5" t="s">
        <v>533</v>
      </c>
      <c r="W36" s="5" t="s">
        <v>533</v>
      </c>
      <c r="X36" s="5" t="s">
        <v>533</v>
      </c>
      <c r="Y36" s="4">
        <v>251</v>
      </c>
      <c r="Z36" s="4">
        <v>234</v>
      </c>
      <c r="AA36" s="4">
        <v>254</v>
      </c>
      <c r="AB36" s="4">
        <v>2</v>
      </c>
      <c r="AC36" s="4">
        <v>2</v>
      </c>
      <c r="AD36" s="4">
        <v>14</v>
      </c>
      <c r="AE36" s="4">
        <v>15</v>
      </c>
      <c r="AF36" s="4">
        <v>3</v>
      </c>
      <c r="AG36" s="4">
        <v>3</v>
      </c>
      <c r="AH36" s="4">
        <v>5</v>
      </c>
      <c r="AI36" s="4">
        <v>5</v>
      </c>
      <c r="AJ36" s="4">
        <v>7</v>
      </c>
      <c r="AK36" s="4">
        <v>7</v>
      </c>
      <c r="AL36" s="4">
        <v>1</v>
      </c>
      <c r="AM36" s="4">
        <v>1</v>
      </c>
      <c r="AN36" s="4">
        <v>1</v>
      </c>
      <c r="AO36" s="4">
        <v>2</v>
      </c>
      <c r="AP36" s="3" t="s">
        <v>58</v>
      </c>
      <c r="AQ36" s="3" t="s">
        <v>58</v>
      </c>
      <c r="AS36" s="6" t="str">
        <f>HYPERLINK("https://creighton-primo.hosted.exlibrisgroup.com/primo-explore/search?tab=default_tab&amp;search_scope=EVERYTHING&amp;vid=01CRU&amp;lang=en_US&amp;offset=0&amp;query=any,contains,991004440339702656","Catalog Record")</f>
        <v>Catalog Record</v>
      </c>
      <c r="AT36" s="6" t="str">
        <f>HYPERLINK("http://www.worldcat.org/oclc/55744458","WorldCat Record")</f>
        <v>WorldCat Record</v>
      </c>
      <c r="AU36" s="3" t="s">
        <v>534</v>
      </c>
      <c r="AV36" s="3" t="s">
        <v>535</v>
      </c>
      <c r="AW36" s="3" t="s">
        <v>536</v>
      </c>
      <c r="AX36" s="3" t="s">
        <v>536</v>
      </c>
      <c r="AY36" s="3" t="s">
        <v>537</v>
      </c>
      <c r="AZ36" s="3" t="s">
        <v>74</v>
      </c>
      <c r="BB36" s="3" t="s">
        <v>538</v>
      </c>
      <c r="BC36" s="3" t="s">
        <v>539</v>
      </c>
      <c r="BD36" s="3" t="s">
        <v>540</v>
      </c>
    </row>
    <row r="37" spans="1:56" ht="40.5" customHeight="1" x14ac:dyDescent="0.25">
      <c r="A37" s="7" t="s">
        <v>58</v>
      </c>
      <c r="B37" s="2" t="s">
        <v>541</v>
      </c>
      <c r="C37" s="2" t="s">
        <v>542</v>
      </c>
      <c r="D37" s="2" t="s">
        <v>543</v>
      </c>
      <c r="F37" s="3" t="s">
        <v>58</v>
      </c>
      <c r="G37" s="3" t="s">
        <v>59</v>
      </c>
      <c r="H37" s="3" t="s">
        <v>58</v>
      </c>
      <c r="I37" s="3" t="s">
        <v>58</v>
      </c>
      <c r="J37" s="3" t="s">
        <v>60</v>
      </c>
      <c r="K37" s="2" t="s">
        <v>544</v>
      </c>
      <c r="L37" s="2" t="s">
        <v>545</v>
      </c>
      <c r="M37" s="3" t="s">
        <v>362</v>
      </c>
      <c r="O37" s="3" t="s">
        <v>65</v>
      </c>
      <c r="P37" s="3" t="s">
        <v>66</v>
      </c>
      <c r="R37" s="3" t="s">
        <v>67</v>
      </c>
      <c r="S37" s="4">
        <v>1</v>
      </c>
      <c r="T37" s="4">
        <v>1</v>
      </c>
      <c r="U37" s="5" t="s">
        <v>546</v>
      </c>
      <c r="V37" s="5" t="s">
        <v>546</v>
      </c>
      <c r="W37" s="5" t="s">
        <v>365</v>
      </c>
      <c r="X37" s="5" t="s">
        <v>365</v>
      </c>
      <c r="Y37" s="4">
        <v>525</v>
      </c>
      <c r="Z37" s="4">
        <v>487</v>
      </c>
      <c r="AA37" s="4">
        <v>561</v>
      </c>
      <c r="AB37" s="4">
        <v>4</v>
      </c>
      <c r="AC37" s="4">
        <v>4</v>
      </c>
      <c r="AD37" s="4">
        <v>27</v>
      </c>
      <c r="AE37" s="4">
        <v>31</v>
      </c>
      <c r="AF37" s="4">
        <v>8</v>
      </c>
      <c r="AG37" s="4">
        <v>11</v>
      </c>
      <c r="AH37" s="4">
        <v>6</v>
      </c>
      <c r="AI37" s="4">
        <v>7</v>
      </c>
      <c r="AJ37" s="4">
        <v>15</v>
      </c>
      <c r="AK37" s="4">
        <v>16</v>
      </c>
      <c r="AL37" s="4">
        <v>3</v>
      </c>
      <c r="AM37" s="4">
        <v>3</v>
      </c>
      <c r="AN37" s="4">
        <v>3</v>
      </c>
      <c r="AO37" s="4">
        <v>4</v>
      </c>
      <c r="AP37" s="3" t="s">
        <v>58</v>
      </c>
      <c r="AQ37" s="3" t="s">
        <v>58</v>
      </c>
      <c r="AS37" s="6" t="str">
        <f>HYPERLINK("https://creighton-primo.hosted.exlibrisgroup.com/primo-explore/search?tab=default_tab&amp;search_scope=EVERYTHING&amp;vid=01CRU&amp;lang=en_US&amp;offset=0&amp;query=any,contains,991002308289702656","Catalog Record")</f>
        <v>Catalog Record</v>
      </c>
      <c r="AT37" s="6" t="str">
        <f>HYPERLINK("http://www.worldcat.org/oclc/29952024","WorldCat Record")</f>
        <v>WorldCat Record</v>
      </c>
      <c r="AU37" s="3" t="s">
        <v>547</v>
      </c>
      <c r="AV37" s="3" t="s">
        <v>548</v>
      </c>
      <c r="AW37" s="3" t="s">
        <v>549</v>
      </c>
      <c r="AX37" s="3" t="s">
        <v>549</v>
      </c>
      <c r="AY37" s="3" t="s">
        <v>550</v>
      </c>
      <c r="AZ37" s="3" t="s">
        <v>74</v>
      </c>
      <c r="BB37" s="3" t="s">
        <v>551</v>
      </c>
      <c r="BC37" s="3" t="s">
        <v>552</v>
      </c>
      <c r="BD37" s="3" t="s">
        <v>553</v>
      </c>
    </row>
    <row r="38" spans="1:56" ht="40.5" customHeight="1" x14ac:dyDescent="0.25">
      <c r="A38" s="7" t="s">
        <v>58</v>
      </c>
      <c r="B38" s="2" t="s">
        <v>554</v>
      </c>
      <c r="C38" s="2" t="s">
        <v>555</v>
      </c>
      <c r="D38" s="2" t="s">
        <v>556</v>
      </c>
      <c r="F38" s="3" t="s">
        <v>58</v>
      </c>
      <c r="G38" s="3" t="s">
        <v>59</v>
      </c>
      <c r="H38" s="3" t="s">
        <v>58</v>
      </c>
      <c r="I38" s="3" t="s">
        <v>58</v>
      </c>
      <c r="J38" s="3" t="s">
        <v>60</v>
      </c>
      <c r="K38" s="2" t="s">
        <v>557</v>
      </c>
      <c r="L38" s="2" t="s">
        <v>558</v>
      </c>
      <c r="M38" s="3" t="s">
        <v>559</v>
      </c>
      <c r="N38" s="2" t="s">
        <v>560</v>
      </c>
      <c r="O38" s="3" t="s">
        <v>65</v>
      </c>
      <c r="P38" s="3" t="s">
        <v>66</v>
      </c>
      <c r="R38" s="3" t="s">
        <v>67</v>
      </c>
      <c r="S38" s="4">
        <v>1</v>
      </c>
      <c r="T38" s="4">
        <v>1</v>
      </c>
      <c r="U38" s="5" t="s">
        <v>561</v>
      </c>
      <c r="V38" s="5" t="s">
        <v>561</v>
      </c>
      <c r="W38" s="5" t="s">
        <v>336</v>
      </c>
      <c r="X38" s="5" t="s">
        <v>336</v>
      </c>
      <c r="Y38" s="4">
        <v>364</v>
      </c>
      <c r="Z38" s="4">
        <v>280</v>
      </c>
      <c r="AA38" s="4">
        <v>289</v>
      </c>
      <c r="AB38" s="4">
        <v>2</v>
      </c>
      <c r="AC38" s="4">
        <v>2</v>
      </c>
      <c r="AD38" s="4">
        <v>14</v>
      </c>
      <c r="AE38" s="4">
        <v>14</v>
      </c>
      <c r="AF38" s="4">
        <v>6</v>
      </c>
      <c r="AG38" s="4">
        <v>6</v>
      </c>
      <c r="AH38" s="4">
        <v>2</v>
      </c>
      <c r="AI38" s="4">
        <v>2</v>
      </c>
      <c r="AJ38" s="4">
        <v>9</v>
      </c>
      <c r="AK38" s="4">
        <v>9</v>
      </c>
      <c r="AL38" s="4">
        <v>1</v>
      </c>
      <c r="AM38" s="4">
        <v>1</v>
      </c>
      <c r="AN38" s="4">
        <v>0</v>
      </c>
      <c r="AO38" s="4">
        <v>0</v>
      </c>
      <c r="AP38" s="3" t="s">
        <v>58</v>
      </c>
      <c r="AQ38" s="3" t="s">
        <v>80</v>
      </c>
      <c r="AR38" s="6" t="str">
        <f>HYPERLINK("http://catalog.hathitrust.org/Record/001118577","HathiTrust Record")</f>
        <v>HathiTrust Record</v>
      </c>
      <c r="AS38" s="6" t="str">
        <f>HYPERLINK("https://creighton-primo.hosted.exlibrisgroup.com/primo-explore/search?tab=default_tab&amp;search_scope=EVERYTHING&amp;vid=01CRU&amp;lang=en_US&amp;offset=0&amp;query=any,contains,991001405149702656","Catalog Record")</f>
        <v>Catalog Record</v>
      </c>
      <c r="AT38" s="6" t="str">
        <f>HYPERLINK("http://www.worldcat.org/oclc/229806","WorldCat Record")</f>
        <v>WorldCat Record</v>
      </c>
      <c r="AU38" s="3" t="s">
        <v>562</v>
      </c>
      <c r="AV38" s="3" t="s">
        <v>563</v>
      </c>
      <c r="AW38" s="3" t="s">
        <v>564</v>
      </c>
      <c r="AX38" s="3" t="s">
        <v>564</v>
      </c>
      <c r="AY38" s="3" t="s">
        <v>565</v>
      </c>
      <c r="AZ38" s="3" t="s">
        <v>74</v>
      </c>
      <c r="BC38" s="3" t="s">
        <v>566</v>
      </c>
      <c r="BD38" s="3" t="s">
        <v>567</v>
      </c>
    </row>
    <row r="39" spans="1:56" ht="40.5" customHeight="1" x14ac:dyDescent="0.25">
      <c r="A39" s="7" t="s">
        <v>58</v>
      </c>
      <c r="B39" s="2" t="s">
        <v>568</v>
      </c>
      <c r="C39" s="2" t="s">
        <v>569</v>
      </c>
      <c r="D39" s="2" t="s">
        <v>570</v>
      </c>
      <c r="F39" s="3" t="s">
        <v>58</v>
      </c>
      <c r="G39" s="3" t="s">
        <v>59</v>
      </c>
      <c r="H39" s="3" t="s">
        <v>58</v>
      </c>
      <c r="I39" s="3" t="s">
        <v>58</v>
      </c>
      <c r="J39" s="3" t="s">
        <v>60</v>
      </c>
      <c r="K39" s="2" t="s">
        <v>571</v>
      </c>
      <c r="L39" s="2" t="s">
        <v>572</v>
      </c>
      <c r="M39" s="3" t="s">
        <v>319</v>
      </c>
      <c r="N39" s="2" t="s">
        <v>84</v>
      </c>
      <c r="O39" s="3" t="s">
        <v>65</v>
      </c>
      <c r="P39" s="3" t="s">
        <v>66</v>
      </c>
      <c r="R39" s="3" t="s">
        <v>67</v>
      </c>
      <c r="S39" s="4">
        <v>1</v>
      </c>
      <c r="T39" s="4">
        <v>1</v>
      </c>
      <c r="U39" s="5" t="s">
        <v>573</v>
      </c>
      <c r="V39" s="5" t="s">
        <v>573</v>
      </c>
      <c r="W39" s="5" t="s">
        <v>574</v>
      </c>
      <c r="X39" s="5" t="s">
        <v>574</v>
      </c>
      <c r="Y39" s="4">
        <v>407</v>
      </c>
      <c r="Z39" s="4">
        <v>387</v>
      </c>
      <c r="AA39" s="4">
        <v>394</v>
      </c>
      <c r="AB39" s="4">
        <v>3</v>
      </c>
      <c r="AC39" s="4">
        <v>3</v>
      </c>
      <c r="AD39" s="4">
        <v>5</v>
      </c>
      <c r="AE39" s="4">
        <v>5</v>
      </c>
      <c r="AF39" s="4">
        <v>1</v>
      </c>
      <c r="AG39" s="4">
        <v>1</v>
      </c>
      <c r="AH39" s="4">
        <v>0</v>
      </c>
      <c r="AI39" s="4">
        <v>0</v>
      </c>
      <c r="AJ39" s="4">
        <v>3</v>
      </c>
      <c r="AK39" s="4">
        <v>3</v>
      </c>
      <c r="AL39" s="4">
        <v>2</v>
      </c>
      <c r="AM39" s="4">
        <v>2</v>
      </c>
      <c r="AN39" s="4">
        <v>0</v>
      </c>
      <c r="AO39" s="4">
        <v>0</v>
      </c>
      <c r="AP39" s="3" t="s">
        <v>58</v>
      </c>
      <c r="AQ39" s="3" t="s">
        <v>58</v>
      </c>
      <c r="AS39" s="6" t="str">
        <f>HYPERLINK("https://creighton-primo.hosted.exlibrisgroup.com/primo-explore/search?tab=default_tab&amp;search_scope=EVERYTHING&amp;vid=01CRU&amp;lang=en_US&amp;offset=0&amp;query=any,contains,991004452189702656","Catalog Record")</f>
        <v>Catalog Record</v>
      </c>
      <c r="AT39" s="6" t="str">
        <f>HYPERLINK("http://www.worldcat.org/oclc/3516402","WorldCat Record")</f>
        <v>WorldCat Record</v>
      </c>
      <c r="AU39" s="3" t="s">
        <v>575</v>
      </c>
      <c r="AV39" s="3" t="s">
        <v>576</v>
      </c>
      <c r="AW39" s="3" t="s">
        <v>577</v>
      </c>
      <c r="AX39" s="3" t="s">
        <v>577</v>
      </c>
      <c r="AY39" s="3" t="s">
        <v>578</v>
      </c>
      <c r="AZ39" s="3" t="s">
        <v>74</v>
      </c>
      <c r="BB39" s="3" t="s">
        <v>579</v>
      </c>
      <c r="BC39" s="3" t="s">
        <v>580</v>
      </c>
      <c r="BD39" s="3" t="s">
        <v>581</v>
      </c>
    </row>
    <row r="40" spans="1:56" ht="40.5" customHeight="1" x14ac:dyDescent="0.25">
      <c r="A40" s="7" t="s">
        <v>58</v>
      </c>
      <c r="B40" s="2" t="s">
        <v>582</v>
      </c>
      <c r="C40" s="2" t="s">
        <v>583</v>
      </c>
      <c r="D40" s="2" t="s">
        <v>584</v>
      </c>
      <c r="F40" s="3" t="s">
        <v>58</v>
      </c>
      <c r="G40" s="3" t="s">
        <v>59</v>
      </c>
      <c r="H40" s="3" t="s">
        <v>58</v>
      </c>
      <c r="I40" s="3" t="s">
        <v>58</v>
      </c>
      <c r="J40" s="3" t="s">
        <v>60</v>
      </c>
      <c r="K40" s="2" t="s">
        <v>585</v>
      </c>
      <c r="L40" s="2" t="s">
        <v>586</v>
      </c>
      <c r="M40" s="3" t="s">
        <v>587</v>
      </c>
      <c r="O40" s="3" t="s">
        <v>65</v>
      </c>
      <c r="P40" s="3" t="s">
        <v>66</v>
      </c>
      <c r="R40" s="3" t="s">
        <v>67</v>
      </c>
      <c r="S40" s="4">
        <v>1</v>
      </c>
      <c r="T40" s="4">
        <v>1</v>
      </c>
      <c r="U40" s="5" t="s">
        <v>588</v>
      </c>
      <c r="V40" s="5" t="s">
        <v>588</v>
      </c>
      <c r="W40" s="5" t="s">
        <v>588</v>
      </c>
      <c r="X40" s="5" t="s">
        <v>588</v>
      </c>
      <c r="Y40" s="4">
        <v>275</v>
      </c>
      <c r="Z40" s="4">
        <v>234</v>
      </c>
      <c r="AA40" s="4">
        <v>247</v>
      </c>
      <c r="AB40" s="4">
        <v>4</v>
      </c>
      <c r="AC40" s="4">
        <v>4</v>
      </c>
      <c r="AD40" s="4">
        <v>12</v>
      </c>
      <c r="AE40" s="4">
        <v>12</v>
      </c>
      <c r="AF40" s="4">
        <v>3</v>
      </c>
      <c r="AG40" s="4">
        <v>3</v>
      </c>
      <c r="AH40" s="4">
        <v>3</v>
      </c>
      <c r="AI40" s="4">
        <v>3</v>
      </c>
      <c r="AJ40" s="4">
        <v>5</v>
      </c>
      <c r="AK40" s="4">
        <v>5</v>
      </c>
      <c r="AL40" s="4">
        <v>3</v>
      </c>
      <c r="AM40" s="4">
        <v>3</v>
      </c>
      <c r="AN40" s="4">
        <v>0</v>
      </c>
      <c r="AO40" s="4">
        <v>0</v>
      </c>
      <c r="AP40" s="3" t="s">
        <v>58</v>
      </c>
      <c r="AQ40" s="3" t="s">
        <v>80</v>
      </c>
      <c r="AR40" s="6" t="str">
        <f>HYPERLINK("http://catalog.hathitrust.org/Record/004169889","HathiTrust Record")</f>
        <v>HathiTrust Record</v>
      </c>
      <c r="AS40" s="6" t="str">
        <f>HYPERLINK("https://creighton-primo.hosted.exlibrisgroup.com/primo-explore/search?tab=default_tab&amp;search_scope=EVERYTHING&amp;vid=01CRU&amp;lang=en_US&amp;offset=0&amp;query=any,contains,991004169749702656","Catalog Record")</f>
        <v>Catalog Record</v>
      </c>
      <c r="AT40" s="6" t="str">
        <f>HYPERLINK("http://www.worldcat.org/oclc/46932675","WorldCat Record")</f>
        <v>WorldCat Record</v>
      </c>
      <c r="AU40" s="3" t="s">
        <v>589</v>
      </c>
      <c r="AV40" s="3" t="s">
        <v>590</v>
      </c>
      <c r="AW40" s="3" t="s">
        <v>591</v>
      </c>
      <c r="AX40" s="3" t="s">
        <v>591</v>
      </c>
      <c r="AY40" s="3" t="s">
        <v>592</v>
      </c>
      <c r="AZ40" s="3" t="s">
        <v>74</v>
      </c>
      <c r="BB40" s="3" t="s">
        <v>593</v>
      </c>
      <c r="BC40" s="3" t="s">
        <v>594</v>
      </c>
      <c r="BD40" s="3" t="s">
        <v>595</v>
      </c>
    </row>
    <row r="41" spans="1:56" ht="40.5" customHeight="1" x14ac:dyDescent="0.25">
      <c r="A41" s="7" t="s">
        <v>58</v>
      </c>
      <c r="B41" s="2" t="s">
        <v>596</v>
      </c>
      <c r="C41" s="2" t="s">
        <v>597</v>
      </c>
      <c r="D41" s="2" t="s">
        <v>598</v>
      </c>
      <c r="F41" s="3" t="s">
        <v>58</v>
      </c>
      <c r="G41" s="3" t="s">
        <v>59</v>
      </c>
      <c r="H41" s="3" t="s">
        <v>58</v>
      </c>
      <c r="I41" s="3" t="s">
        <v>58</v>
      </c>
      <c r="J41" s="3" t="s">
        <v>60</v>
      </c>
      <c r="K41" s="2" t="s">
        <v>599</v>
      </c>
      <c r="L41" s="2" t="s">
        <v>600</v>
      </c>
      <c r="M41" s="3" t="s">
        <v>601</v>
      </c>
      <c r="O41" s="3" t="s">
        <v>65</v>
      </c>
      <c r="P41" s="3" t="s">
        <v>66</v>
      </c>
      <c r="Q41" s="2" t="s">
        <v>602</v>
      </c>
      <c r="R41" s="3" t="s">
        <v>67</v>
      </c>
      <c r="S41" s="4">
        <v>1</v>
      </c>
      <c r="T41" s="4">
        <v>1</v>
      </c>
      <c r="U41" s="5" t="s">
        <v>603</v>
      </c>
      <c r="V41" s="5" t="s">
        <v>603</v>
      </c>
      <c r="W41" s="5" t="s">
        <v>336</v>
      </c>
      <c r="X41" s="5" t="s">
        <v>336</v>
      </c>
      <c r="Y41" s="4">
        <v>9</v>
      </c>
      <c r="Z41" s="4">
        <v>9</v>
      </c>
      <c r="AA41" s="4">
        <v>448</v>
      </c>
      <c r="AB41" s="4">
        <v>1</v>
      </c>
      <c r="AC41" s="4">
        <v>4</v>
      </c>
      <c r="AD41" s="4">
        <v>1</v>
      </c>
      <c r="AE41" s="4">
        <v>26</v>
      </c>
      <c r="AF41" s="4">
        <v>1</v>
      </c>
      <c r="AG41" s="4">
        <v>7</v>
      </c>
      <c r="AH41" s="4">
        <v>0</v>
      </c>
      <c r="AI41" s="4">
        <v>4</v>
      </c>
      <c r="AJ41" s="4">
        <v>1</v>
      </c>
      <c r="AK41" s="4">
        <v>18</v>
      </c>
      <c r="AL41" s="4">
        <v>0</v>
      </c>
      <c r="AM41" s="4">
        <v>3</v>
      </c>
      <c r="AN41" s="4">
        <v>0</v>
      </c>
      <c r="AO41" s="4">
        <v>0</v>
      </c>
      <c r="AP41" s="3" t="s">
        <v>80</v>
      </c>
      <c r="AQ41" s="3" t="s">
        <v>58</v>
      </c>
      <c r="AR41" s="6" t="str">
        <f>HYPERLINK("http://catalog.hathitrust.org/Record/100772705","HathiTrust Record")</f>
        <v>HathiTrust Record</v>
      </c>
      <c r="AS41" s="6" t="str">
        <f>HYPERLINK("https://creighton-primo.hosted.exlibrisgroup.com/primo-explore/search?tab=default_tab&amp;search_scope=EVERYTHING&amp;vid=01CRU&amp;lang=en_US&amp;offset=0&amp;query=any,contains,991004708419702656","Catalog Record")</f>
        <v>Catalog Record</v>
      </c>
      <c r="AT41" s="6" t="str">
        <f>HYPERLINK("http://www.worldcat.org/oclc/4735806","WorldCat Record")</f>
        <v>WorldCat Record</v>
      </c>
      <c r="AU41" s="3" t="s">
        <v>604</v>
      </c>
      <c r="AV41" s="3" t="s">
        <v>605</v>
      </c>
      <c r="AW41" s="3" t="s">
        <v>606</v>
      </c>
      <c r="AX41" s="3" t="s">
        <v>606</v>
      </c>
      <c r="AY41" s="3" t="s">
        <v>607</v>
      </c>
      <c r="AZ41" s="3" t="s">
        <v>74</v>
      </c>
      <c r="BC41" s="3" t="s">
        <v>608</v>
      </c>
      <c r="BD41" s="3" t="s">
        <v>609</v>
      </c>
    </row>
    <row r="42" spans="1:56" ht="40.5" customHeight="1" x14ac:dyDescent="0.25">
      <c r="A42" s="7" t="s">
        <v>58</v>
      </c>
      <c r="B42" s="2" t="s">
        <v>610</v>
      </c>
      <c r="C42" s="2" t="s">
        <v>611</v>
      </c>
      <c r="D42" s="2" t="s">
        <v>612</v>
      </c>
      <c r="F42" s="3" t="s">
        <v>58</v>
      </c>
      <c r="G42" s="3" t="s">
        <v>59</v>
      </c>
      <c r="H42" s="3" t="s">
        <v>58</v>
      </c>
      <c r="I42" s="3" t="s">
        <v>58</v>
      </c>
      <c r="J42" s="3" t="s">
        <v>60</v>
      </c>
      <c r="K42" s="2" t="s">
        <v>613</v>
      </c>
      <c r="L42" s="2" t="s">
        <v>614</v>
      </c>
      <c r="M42" s="3" t="s">
        <v>615</v>
      </c>
      <c r="O42" s="3" t="s">
        <v>65</v>
      </c>
      <c r="P42" s="3" t="s">
        <v>616</v>
      </c>
      <c r="R42" s="3" t="s">
        <v>67</v>
      </c>
      <c r="S42" s="4">
        <v>0</v>
      </c>
      <c r="T42" s="4">
        <v>0</v>
      </c>
      <c r="U42" s="5" t="s">
        <v>617</v>
      </c>
      <c r="V42" s="5" t="s">
        <v>617</v>
      </c>
      <c r="W42" s="5" t="s">
        <v>574</v>
      </c>
      <c r="X42" s="5" t="s">
        <v>574</v>
      </c>
      <c r="Y42" s="4">
        <v>63</v>
      </c>
      <c r="Z42" s="4">
        <v>54</v>
      </c>
      <c r="AA42" s="4">
        <v>54</v>
      </c>
      <c r="AB42" s="4">
        <v>1</v>
      </c>
      <c r="AC42" s="4">
        <v>1</v>
      </c>
      <c r="AD42" s="4">
        <v>3</v>
      </c>
      <c r="AE42" s="4">
        <v>3</v>
      </c>
      <c r="AF42" s="4">
        <v>2</v>
      </c>
      <c r="AG42" s="4">
        <v>2</v>
      </c>
      <c r="AH42" s="4">
        <v>0</v>
      </c>
      <c r="AI42" s="4">
        <v>0</v>
      </c>
      <c r="AJ42" s="4">
        <v>1</v>
      </c>
      <c r="AK42" s="4">
        <v>1</v>
      </c>
      <c r="AL42" s="4">
        <v>0</v>
      </c>
      <c r="AM42" s="4">
        <v>0</v>
      </c>
      <c r="AN42" s="4">
        <v>0</v>
      </c>
      <c r="AO42" s="4">
        <v>0</v>
      </c>
      <c r="AP42" s="3" t="s">
        <v>58</v>
      </c>
      <c r="AQ42" s="3" t="s">
        <v>58</v>
      </c>
      <c r="AS42" s="6" t="str">
        <f>HYPERLINK("https://creighton-primo.hosted.exlibrisgroup.com/primo-explore/search?tab=default_tab&amp;search_scope=EVERYTHING&amp;vid=01CRU&amp;lang=en_US&amp;offset=0&amp;query=any,contains,991000493669702656","Catalog Record")</f>
        <v>Catalog Record</v>
      </c>
      <c r="AT42" s="6" t="str">
        <f>HYPERLINK("http://www.worldcat.org/oclc/11115852","WorldCat Record")</f>
        <v>WorldCat Record</v>
      </c>
      <c r="AU42" s="3" t="s">
        <v>618</v>
      </c>
      <c r="AV42" s="3" t="s">
        <v>619</v>
      </c>
      <c r="AW42" s="3" t="s">
        <v>620</v>
      </c>
      <c r="AX42" s="3" t="s">
        <v>620</v>
      </c>
      <c r="AY42" s="3" t="s">
        <v>621</v>
      </c>
      <c r="AZ42" s="3" t="s">
        <v>74</v>
      </c>
      <c r="BB42" s="3" t="s">
        <v>622</v>
      </c>
      <c r="BC42" s="3" t="s">
        <v>623</v>
      </c>
      <c r="BD42" s="3" t="s">
        <v>624</v>
      </c>
    </row>
    <row r="43" spans="1:56" ht="40.5" customHeight="1" x14ac:dyDescent="0.25">
      <c r="A43" s="7" t="s">
        <v>58</v>
      </c>
      <c r="B43" s="2" t="s">
        <v>625</v>
      </c>
      <c r="C43" s="2" t="s">
        <v>626</v>
      </c>
      <c r="D43" s="2" t="s">
        <v>627</v>
      </c>
      <c r="F43" s="3" t="s">
        <v>58</v>
      </c>
      <c r="G43" s="3" t="s">
        <v>59</v>
      </c>
      <c r="H43" s="3" t="s">
        <v>58</v>
      </c>
      <c r="I43" s="3" t="s">
        <v>58</v>
      </c>
      <c r="J43" s="3" t="s">
        <v>60</v>
      </c>
      <c r="K43" s="2" t="s">
        <v>628</v>
      </c>
      <c r="L43" s="2" t="s">
        <v>629</v>
      </c>
      <c r="M43" s="3" t="s">
        <v>630</v>
      </c>
      <c r="O43" s="3" t="s">
        <v>65</v>
      </c>
      <c r="P43" s="3" t="s">
        <v>631</v>
      </c>
      <c r="R43" s="3" t="s">
        <v>67</v>
      </c>
      <c r="S43" s="4">
        <v>1</v>
      </c>
      <c r="T43" s="4">
        <v>1</v>
      </c>
      <c r="U43" s="5" t="s">
        <v>632</v>
      </c>
      <c r="V43" s="5" t="s">
        <v>632</v>
      </c>
      <c r="W43" s="5" t="s">
        <v>633</v>
      </c>
      <c r="X43" s="5" t="s">
        <v>633</v>
      </c>
      <c r="Y43" s="4">
        <v>197</v>
      </c>
      <c r="Z43" s="4">
        <v>117</v>
      </c>
      <c r="AA43" s="4">
        <v>119</v>
      </c>
      <c r="AB43" s="4">
        <v>2</v>
      </c>
      <c r="AC43" s="4">
        <v>2</v>
      </c>
      <c r="AD43" s="4">
        <v>10</v>
      </c>
      <c r="AE43" s="4">
        <v>10</v>
      </c>
      <c r="AF43" s="4">
        <v>1</v>
      </c>
      <c r="AG43" s="4">
        <v>1</v>
      </c>
      <c r="AH43" s="4">
        <v>3</v>
      </c>
      <c r="AI43" s="4">
        <v>3</v>
      </c>
      <c r="AJ43" s="4">
        <v>8</v>
      </c>
      <c r="AK43" s="4">
        <v>8</v>
      </c>
      <c r="AL43" s="4">
        <v>1</v>
      </c>
      <c r="AM43" s="4">
        <v>1</v>
      </c>
      <c r="AN43" s="4">
        <v>0</v>
      </c>
      <c r="AO43" s="4">
        <v>0</v>
      </c>
      <c r="AP43" s="3" t="s">
        <v>58</v>
      </c>
      <c r="AQ43" s="3" t="s">
        <v>80</v>
      </c>
      <c r="AR43" s="6" t="str">
        <f>HYPERLINK("http://catalog.hathitrust.org/Record/001118609","HathiTrust Record")</f>
        <v>HathiTrust Record</v>
      </c>
      <c r="AS43" s="6" t="str">
        <f>HYPERLINK("https://creighton-primo.hosted.exlibrisgroup.com/primo-explore/search?tab=default_tab&amp;search_scope=EVERYTHING&amp;vid=01CRU&amp;lang=en_US&amp;offset=0&amp;query=any,contains,991003877269702656","Catalog Record")</f>
        <v>Catalog Record</v>
      </c>
      <c r="AT43" s="6" t="str">
        <f>HYPERLINK("http://www.worldcat.org/oclc/1709796","WorldCat Record")</f>
        <v>WorldCat Record</v>
      </c>
      <c r="AU43" s="3" t="s">
        <v>634</v>
      </c>
      <c r="AV43" s="3" t="s">
        <v>635</v>
      </c>
      <c r="AW43" s="3" t="s">
        <v>636</v>
      </c>
      <c r="AX43" s="3" t="s">
        <v>636</v>
      </c>
      <c r="AY43" s="3" t="s">
        <v>637</v>
      </c>
      <c r="AZ43" s="3" t="s">
        <v>74</v>
      </c>
      <c r="BC43" s="3" t="s">
        <v>638</v>
      </c>
      <c r="BD43" s="3" t="s">
        <v>639</v>
      </c>
    </row>
    <row r="44" spans="1:56" ht="40.5" customHeight="1" x14ac:dyDescent="0.25">
      <c r="A44" s="7" t="s">
        <v>58</v>
      </c>
      <c r="B44" s="2" t="s">
        <v>640</v>
      </c>
      <c r="C44" s="2" t="s">
        <v>641</v>
      </c>
      <c r="D44" s="2" t="s">
        <v>642</v>
      </c>
      <c r="E44" s="3" t="s">
        <v>643</v>
      </c>
      <c r="F44" s="3" t="s">
        <v>80</v>
      </c>
      <c r="G44" s="3" t="s">
        <v>59</v>
      </c>
      <c r="H44" s="3" t="s">
        <v>58</v>
      </c>
      <c r="I44" s="3" t="s">
        <v>58</v>
      </c>
      <c r="J44" s="3" t="s">
        <v>60</v>
      </c>
      <c r="K44" s="2" t="s">
        <v>644</v>
      </c>
      <c r="L44" s="2" t="s">
        <v>645</v>
      </c>
      <c r="M44" s="3" t="s">
        <v>646</v>
      </c>
      <c r="O44" s="3" t="s">
        <v>65</v>
      </c>
      <c r="P44" s="3" t="s">
        <v>647</v>
      </c>
      <c r="Q44" s="2" t="s">
        <v>648</v>
      </c>
      <c r="R44" s="3" t="s">
        <v>67</v>
      </c>
      <c r="S44" s="4">
        <v>0</v>
      </c>
      <c r="T44" s="4">
        <v>3</v>
      </c>
      <c r="V44" s="5" t="s">
        <v>649</v>
      </c>
      <c r="W44" s="5" t="s">
        <v>633</v>
      </c>
      <c r="X44" s="5" t="s">
        <v>633</v>
      </c>
      <c r="Y44" s="4">
        <v>56</v>
      </c>
      <c r="Z44" s="4">
        <v>43</v>
      </c>
      <c r="AA44" s="4">
        <v>126</v>
      </c>
      <c r="AB44" s="4">
        <v>1</v>
      </c>
      <c r="AC44" s="4">
        <v>2</v>
      </c>
      <c r="AD44" s="4">
        <v>2</v>
      </c>
      <c r="AE44" s="4">
        <v>6</v>
      </c>
      <c r="AF44" s="4">
        <v>0</v>
      </c>
      <c r="AG44" s="4">
        <v>1</v>
      </c>
      <c r="AH44" s="4">
        <v>1</v>
      </c>
      <c r="AI44" s="4">
        <v>2</v>
      </c>
      <c r="AJ44" s="4">
        <v>2</v>
      </c>
      <c r="AK44" s="4">
        <v>5</v>
      </c>
      <c r="AL44" s="4">
        <v>0</v>
      </c>
      <c r="AM44" s="4">
        <v>1</v>
      </c>
      <c r="AN44" s="4">
        <v>0</v>
      </c>
      <c r="AO44" s="4">
        <v>0</v>
      </c>
      <c r="AP44" s="3" t="s">
        <v>58</v>
      </c>
      <c r="AQ44" s="3" t="s">
        <v>80</v>
      </c>
      <c r="AR44" s="6" t="str">
        <f>HYPERLINK("http://catalog.hathitrust.org/Record/100186469","HathiTrust Record")</f>
        <v>HathiTrust Record</v>
      </c>
      <c r="AS44" s="6" t="str">
        <f>HYPERLINK("https://creighton-primo.hosted.exlibrisgroup.com/primo-explore/search?tab=default_tab&amp;search_scope=EVERYTHING&amp;vid=01CRU&amp;lang=en_US&amp;offset=0&amp;query=any,contains,991004532739702656","Catalog Record")</f>
        <v>Catalog Record</v>
      </c>
      <c r="AT44" s="6" t="str">
        <f>HYPERLINK("http://www.worldcat.org/oclc/3857443","WorldCat Record")</f>
        <v>WorldCat Record</v>
      </c>
      <c r="AU44" s="3" t="s">
        <v>650</v>
      </c>
      <c r="AV44" s="3" t="s">
        <v>651</v>
      </c>
      <c r="AW44" s="3" t="s">
        <v>652</v>
      </c>
      <c r="AX44" s="3" t="s">
        <v>652</v>
      </c>
      <c r="AY44" s="3" t="s">
        <v>653</v>
      </c>
      <c r="AZ44" s="3" t="s">
        <v>74</v>
      </c>
      <c r="BC44" s="3" t="s">
        <v>654</v>
      </c>
      <c r="BD44" s="3" t="s">
        <v>655</v>
      </c>
    </row>
    <row r="45" spans="1:56" ht="40.5" customHeight="1" x14ac:dyDescent="0.25">
      <c r="A45" s="7" t="s">
        <v>58</v>
      </c>
      <c r="B45" s="2" t="s">
        <v>656</v>
      </c>
      <c r="C45" s="2" t="s">
        <v>657</v>
      </c>
      <c r="D45" s="2" t="s">
        <v>658</v>
      </c>
      <c r="F45" s="3" t="s">
        <v>58</v>
      </c>
      <c r="G45" s="3" t="s">
        <v>59</v>
      </c>
      <c r="H45" s="3" t="s">
        <v>58</v>
      </c>
      <c r="I45" s="3" t="s">
        <v>58</v>
      </c>
      <c r="J45" s="3" t="s">
        <v>60</v>
      </c>
      <c r="K45" s="2" t="s">
        <v>659</v>
      </c>
      <c r="L45" s="2" t="s">
        <v>660</v>
      </c>
      <c r="M45" s="3" t="s">
        <v>661</v>
      </c>
      <c r="N45" s="2" t="s">
        <v>662</v>
      </c>
      <c r="O45" s="3" t="s">
        <v>65</v>
      </c>
      <c r="P45" s="3" t="s">
        <v>112</v>
      </c>
      <c r="R45" s="3" t="s">
        <v>67</v>
      </c>
      <c r="S45" s="4">
        <v>1</v>
      </c>
      <c r="T45" s="4">
        <v>1</v>
      </c>
      <c r="U45" s="5" t="s">
        <v>663</v>
      </c>
      <c r="V45" s="5" t="s">
        <v>663</v>
      </c>
      <c r="W45" s="5" t="s">
        <v>664</v>
      </c>
      <c r="X45" s="5" t="s">
        <v>664</v>
      </c>
      <c r="Y45" s="4">
        <v>171</v>
      </c>
      <c r="Z45" s="4">
        <v>140</v>
      </c>
      <c r="AA45" s="4">
        <v>705</v>
      </c>
      <c r="AB45" s="4">
        <v>4</v>
      </c>
      <c r="AC45" s="4">
        <v>8</v>
      </c>
      <c r="AD45" s="4">
        <v>7</v>
      </c>
      <c r="AE45" s="4">
        <v>36</v>
      </c>
      <c r="AF45" s="4">
        <v>1</v>
      </c>
      <c r="AG45" s="4">
        <v>13</v>
      </c>
      <c r="AH45" s="4">
        <v>1</v>
      </c>
      <c r="AI45" s="4">
        <v>6</v>
      </c>
      <c r="AJ45" s="4">
        <v>2</v>
      </c>
      <c r="AK45" s="4">
        <v>14</v>
      </c>
      <c r="AL45" s="4">
        <v>3</v>
      </c>
      <c r="AM45" s="4">
        <v>7</v>
      </c>
      <c r="AN45" s="4">
        <v>0</v>
      </c>
      <c r="AO45" s="4">
        <v>2</v>
      </c>
      <c r="AP45" s="3" t="s">
        <v>58</v>
      </c>
      <c r="AQ45" s="3" t="s">
        <v>80</v>
      </c>
      <c r="AR45" s="6" t="str">
        <f>HYPERLINK("http://catalog.hathitrust.org/Record/009500595","HathiTrust Record")</f>
        <v>HathiTrust Record</v>
      </c>
      <c r="AS45" s="6" t="str">
        <f>HYPERLINK("https://creighton-primo.hosted.exlibrisgroup.com/primo-explore/search?tab=default_tab&amp;search_scope=EVERYTHING&amp;vid=01CRU&amp;lang=en_US&amp;offset=0&amp;query=any,contains,991003759489702656","Catalog Record")</f>
        <v>Catalog Record</v>
      </c>
      <c r="AT45" s="6" t="str">
        <f>HYPERLINK("http://www.worldcat.org/oclc/1444148","WorldCat Record")</f>
        <v>WorldCat Record</v>
      </c>
      <c r="AU45" s="3" t="s">
        <v>665</v>
      </c>
      <c r="AV45" s="3" t="s">
        <v>666</v>
      </c>
      <c r="AW45" s="3" t="s">
        <v>667</v>
      </c>
      <c r="AX45" s="3" t="s">
        <v>667</v>
      </c>
      <c r="AY45" s="3" t="s">
        <v>668</v>
      </c>
      <c r="AZ45" s="3" t="s">
        <v>74</v>
      </c>
      <c r="BC45" s="3" t="s">
        <v>669</v>
      </c>
      <c r="BD45" s="3" t="s">
        <v>670</v>
      </c>
    </row>
    <row r="46" spans="1:56" ht="40.5" customHeight="1" x14ac:dyDescent="0.25">
      <c r="A46" s="7" t="s">
        <v>58</v>
      </c>
      <c r="B46" s="2" t="s">
        <v>671</v>
      </c>
      <c r="C46" s="2" t="s">
        <v>672</v>
      </c>
      <c r="D46" s="2" t="s">
        <v>673</v>
      </c>
      <c r="F46" s="3" t="s">
        <v>58</v>
      </c>
      <c r="G46" s="3" t="s">
        <v>59</v>
      </c>
      <c r="H46" s="3" t="s">
        <v>58</v>
      </c>
      <c r="I46" s="3" t="s">
        <v>58</v>
      </c>
      <c r="J46" s="3" t="s">
        <v>60</v>
      </c>
      <c r="K46" s="2" t="s">
        <v>674</v>
      </c>
      <c r="L46" s="2" t="s">
        <v>675</v>
      </c>
      <c r="M46" s="3" t="s">
        <v>676</v>
      </c>
      <c r="O46" s="3" t="s">
        <v>65</v>
      </c>
      <c r="P46" s="3" t="s">
        <v>169</v>
      </c>
      <c r="Q46" s="2" t="s">
        <v>677</v>
      </c>
      <c r="R46" s="3" t="s">
        <v>67</v>
      </c>
      <c r="S46" s="4">
        <v>1</v>
      </c>
      <c r="T46" s="4">
        <v>1</v>
      </c>
      <c r="U46" s="5" t="s">
        <v>678</v>
      </c>
      <c r="V46" s="5" t="s">
        <v>678</v>
      </c>
      <c r="W46" s="5" t="s">
        <v>679</v>
      </c>
      <c r="X46" s="5" t="s">
        <v>679</v>
      </c>
      <c r="Y46" s="4">
        <v>488</v>
      </c>
      <c r="Z46" s="4">
        <v>413</v>
      </c>
      <c r="AA46" s="4">
        <v>436</v>
      </c>
      <c r="AB46" s="4">
        <v>3</v>
      </c>
      <c r="AC46" s="4">
        <v>3</v>
      </c>
      <c r="AD46" s="4">
        <v>23</v>
      </c>
      <c r="AE46" s="4">
        <v>24</v>
      </c>
      <c r="AF46" s="4">
        <v>9</v>
      </c>
      <c r="AG46" s="4">
        <v>9</v>
      </c>
      <c r="AH46" s="4">
        <v>5</v>
      </c>
      <c r="AI46" s="4">
        <v>5</v>
      </c>
      <c r="AJ46" s="4">
        <v>12</v>
      </c>
      <c r="AK46" s="4">
        <v>12</v>
      </c>
      <c r="AL46" s="4">
        <v>2</v>
      </c>
      <c r="AM46" s="4">
        <v>2</v>
      </c>
      <c r="AN46" s="4">
        <v>1</v>
      </c>
      <c r="AO46" s="4">
        <v>2</v>
      </c>
      <c r="AP46" s="3" t="s">
        <v>58</v>
      </c>
      <c r="AQ46" s="3" t="s">
        <v>80</v>
      </c>
      <c r="AR46" s="6" t="str">
        <f>HYPERLINK("http://catalog.hathitrust.org/Record/000264843","HathiTrust Record")</f>
        <v>HathiTrust Record</v>
      </c>
      <c r="AS46" s="6" t="str">
        <f>HYPERLINK("https://creighton-primo.hosted.exlibrisgroup.com/primo-explore/search?tab=default_tab&amp;search_scope=EVERYTHING&amp;vid=01CRU&amp;lang=en_US&amp;offset=0&amp;query=any,contains,991005175169702656","Catalog Record")</f>
        <v>Catalog Record</v>
      </c>
      <c r="AT46" s="6" t="str">
        <f>HYPERLINK("http://www.worldcat.org/oclc/7910570","WorldCat Record")</f>
        <v>WorldCat Record</v>
      </c>
      <c r="AU46" s="3" t="s">
        <v>680</v>
      </c>
      <c r="AV46" s="3" t="s">
        <v>681</v>
      </c>
      <c r="AW46" s="3" t="s">
        <v>682</v>
      </c>
      <c r="AX46" s="3" t="s">
        <v>682</v>
      </c>
      <c r="AY46" s="3" t="s">
        <v>683</v>
      </c>
      <c r="AZ46" s="3" t="s">
        <v>74</v>
      </c>
      <c r="BB46" s="3" t="s">
        <v>684</v>
      </c>
      <c r="BC46" s="3" t="s">
        <v>685</v>
      </c>
      <c r="BD46" s="3" t="s">
        <v>686</v>
      </c>
    </row>
    <row r="47" spans="1:56" ht="40.5" customHeight="1" x14ac:dyDescent="0.25">
      <c r="A47" s="7" t="s">
        <v>58</v>
      </c>
      <c r="B47" s="2" t="s">
        <v>687</v>
      </c>
      <c r="C47" s="2" t="s">
        <v>688</v>
      </c>
      <c r="D47" s="2" t="s">
        <v>689</v>
      </c>
      <c r="E47" s="3" t="s">
        <v>359</v>
      </c>
      <c r="F47" s="3" t="s">
        <v>80</v>
      </c>
      <c r="G47" s="3" t="s">
        <v>59</v>
      </c>
      <c r="H47" s="3" t="s">
        <v>58</v>
      </c>
      <c r="I47" s="3" t="s">
        <v>58</v>
      </c>
      <c r="J47" s="3" t="s">
        <v>60</v>
      </c>
      <c r="K47" s="2" t="s">
        <v>690</v>
      </c>
      <c r="L47" s="2" t="s">
        <v>691</v>
      </c>
      <c r="M47" s="3" t="s">
        <v>378</v>
      </c>
      <c r="O47" s="3" t="s">
        <v>65</v>
      </c>
      <c r="P47" s="3" t="s">
        <v>66</v>
      </c>
      <c r="R47" s="3" t="s">
        <v>67</v>
      </c>
      <c r="S47" s="4">
        <v>1</v>
      </c>
      <c r="T47" s="4">
        <v>4</v>
      </c>
      <c r="V47" s="5" t="s">
        <v>692</v>
      </c>
      <c r="W47" s="5" t="s">
        <v>693</v>
      </c>
      <c r="X47" s="5" t="s">
        <v>693</v>
      </c>
      <c r="Y47" s="4">
        <v>907</v>
      </c>
      <c r="Z47" s="4">
        <v>853</v>
      </c>
      <c r="AA47" s="4">
        <v>953</v>
      </c>
      <c r="AB47" s="4">
        <v>7</v>
      </c>
      <c r="AC47" s="4">
        <v>7</v>
      </c>
      <c r="AD47" s="4">
        <v>40</v>
      </c>
      <c r="AE47" s="4">
        <v>43</v>
      </c>
      <c r="AF47" s="4">
        <v>17</v>
      </c>
      <c r="AG47" s="4">
        <v>17</v>
      </c>
      <c r="AH47" s="4">
        <v>7</v>
      </c>
      <c r="AI47" s="4">
        <v>8</v>
      </c>
      <c r="AJ47" s="4">
        <v>19</v>
      </c>
      <c r="AK47" s="4">
        <v>19</v>
      </c>
      <c r="AL47" s="4">
        <v>6</v>
      </c>
      <c r="AM47" s="4">
        <v>6</v>
      </c>
      <c r="AN47" s="4">
        <v>2</v>
      </c>
      <c r="AO47" s="4">
        <v>4</v>
      </c>
      <c r="AP47" s="3" t="s">
        <v>58</v>
      </c>
      <c r="AQ47" s="3" t="s">
        <v>58</v>
      </c>
      <c r="AS47" s="6" t="str">
        <f>HYPERLINK("https://creighton-primo.hosted.exlibrisgroup.com/primo-explore/search?tab=default_tab&amp;search_scope=EVERYTHING&amp;vid=01CRU&amp;lang=en_US&amp;offset=0&amp;query=any,contains,991005437689702656","Catalog Record")</f>
        <v>Catalog Record</v>
      </c>
      <c r="AT47" s="6" t="str">
        <f>HYPERLINK("http://www.worldcat.org/oclc/5471","WorldCat Record")</f>
        <v>WorldCat Record</v>
      </c>
      <c r="AU47" s="3" t="s">
        <v>694</v>
      </c>
      <c r="AV47" s="3" t="s">
        <v>695</v>
      </c>
      <c r="AW47" s="3" t="s">
        <v>696</v>
      </c>
      <c r="AX47" s="3" t="s">
        <v>696</v>
      </c>
      <c r="AY47" s="3" t="s">
        <v>697</v>
      </c>
      <c r="AZ47" s="3" t="s">
        <v>74</v>
      </c>
      <c r="BC47" s="3" t="s">
        <v>698</v>
      </c>
      <c r="BD47" s="3" t="s">
        <v>699</v>
      </c>
    </row>
    <row r="48" spans="1:56" ht="40.5" customHeight="1" x14ac:dyDescent="0.25">
      <c r="A48" s="7" t="s">
        <v>58</v>
      </c>
      <c r="B48" s="2" t="s">
        <v>687</v>
      </c>
      <c r="C48" s="2" t="s">
        <v>688</v>
      </c>
      <c r="D48" s="2" t="s">
        <v>689</v>
      </c>
      <c r="E48" s="3" t="s">
        <v>700</v>
      </c>
      <c r="F48" s="3" t="s">
        <v>80</v>
      </c>
      <c r="G48" s="3" t="s">
        <v>59</v>
      </c>
      <c r="H48" s="3" t="s">
        <v>58</v>
      </c>
      <c r="I48" s="3" t="s">
        <v>58</v>
      </c>
      <c r="J48" s="3" t="s">
        <v>60</v>
      </c>
      <c r="K48" s="2" t="s">
        <v>690</v>
      </c>
      <c r="L48" s="2" t="s">
        <v>691</v>
      </c>
      <c r="M48" s="3" t="s">
        <v>378</v>
      </c>
      <c r="O48" s="3" t="s">
        <v>65</v>
      </c>
      <c r="P48" s="3" t="s">
        <v>66</v>
      </c>
      <c r="R48" s="3" t="s">
        <v>67</v>
      </c>
      <c r="S48" s="4">
        <v>0</v>
      </c>
      <c r="T48" s="4">
        <v>4</v>
      </c>
      <c r="V48" s="5" t="s">
        <v>692</v>
      </c>
      <c r="W48" s="5" t="s">
        <v>693</v>
      </c>
      <c r="X48" s="5" t="s">
        <v>693</v>
      </c>
      <c r="Y48" s="4">
        <v>907</v>
      </c>
      <c r="Z48" s="4">
        <v>853</v>
      </c>
      <c r="AA48" s="4">
        <v>953</v>
      </c>
      <c r="AB48" s="4">
        <v>7</v>
      </c>
      <c r="AC48" s="4">
        <v>7</v>
      </c>
      <c r="AD48" s="4">
        <v>40</v>
      </c>
      <c r="AE48" s="4">
        <v>43</v>
      </c>
      <c r="AF48" s="4">
        <v>17</v>
      </c>
      <c r="AG48" s="4">
        <v>17</v>
      </c>
      <c r="AH48" s="4">
        <v>7</v>
      </c>
      <c r="AI48" s="4">
        <v>8</v>
      </c>
      <c r="AJ48" s="4">
        <v>19</v>
      </c>
      <c r="AK48" s="4">
        <v>19</v>
      </c>
      <c r="AL48" s="4">
        <v>6</v>
      </c>
      <c r="AM48" s="4">
        <v>6</v>
      </c>
      <c r="AN48" s="4">
        <v>2</v>
      </c>
      <c r="AO48" s="4">
        <v>4</v>
      </c>
      <c r="AP48" s="3" t="s">
        <v>58</v>
      </c>
      <c r="AQ48" s="3" t="s">
        <v>58</v>
      </c>
      <c r="AS48" s="6" t="str">
        <f>HYPERLINK("https://creighton-primo.hosted.exlibrisgroup.com/primo-explore/search?tab=default_tab&amp;search_scope=EVERYTHING&amp;vid=01CRU&amp;lang=en_US&amp;offset=0&amp;query=any,contains,991005437689702656","Catalog Record")</f>
        <v>Catalog Record</v>
      </c>
      <c r="AT48" s="6" t="str">
        <f>HYPERLINK("http://www.worldcat.org/oclc/5471","WorldCat Record")</f>
        <v>WorldCat Record</v>
      </c>
      <c r="AU48" s="3" t="s">
        <v>694</v>
      </c>
      <c r="AV48" s="3" t="s">
        <v>695</v>
      </c>
      <c r="AW48" s="3" t="s">
        <v>696</v>
      </c>
      <c r="AX48" s="3" t="s">
        <v>696</v>
      </c>
      <c r="AY48" s="3" t="s">
        <v>697</v>
      </c>
      <c r="AZ48" s="3" t="s">
        <v>74</v>
      </c>
      <c r="BC48" s="3" t="s">
        <v>701</v>
      </c>
      <c r="BD48" s="3" t="s">
        <v>702</v>
      </c>
    </row>
    <row r="49" spans="1:56" ht="40.5" customHeight="1" x14ac:dyDescent="0.25">
      <c r="A49" s="7" t="s">
        <v>58</v>
      </c>
      <c r="B49" s="2" t="s">
        <v>687</v>
      </c>
      <c r="C49" s="2" t="s">
        <v>688</v>
      </c>
      <c r="D49" s="2" t="s">
        <v>689</v>
      </c>
      <c r="E49" s="3" t="s">
        <v>703</v>
      </c>
      <c r="F49" s="3" t="s">
        <v>80</v>
      </c>
      <c r="G49" s="3" t="s">
        <v>59</v>
      </c>
      <c r="H49" s="3" t="s">
        <v>58</v>
      </c>
      <c r="I49" s="3" t="s">
        <v>58</v>
      </c>
      <c r="J49" s="3" t="s">
        <v>60</v>
      </c>
      <c r="K49" s="2" t="s">
        <v>690</v>
      </c>
      <c r="L49" s="2" t="s">
        <v>691</v>
      </c>
      <c r="M49" s="3" t="s">
        <v>378</v>
      </c>
      <c r="O49" s="3" t="s">
        <v>65</v>
      </c>
      <c r="P49" s="3" t="s">
        <v>66</v>
      </c>
      <c r="R49" s="3" t="s">
        <v>67</v>
      </c>
      <c r="S49" s="4">
        <v>0</v>
      </c>
      <c r="T49" s="4">
        <v>4</v>
      </c>
      <c r="V49" s="5" t="s">
        <v>692</v>
      </c>
      <c r="W49" s="5" t="s">
        <v>693</v>
      </c>
      <c r="X49" s="5" t="s">
        <v>693</v>
      </c>
      <c r="Y49" s="4">
        <v>907</v>
      </c>
      <c r="Z49" s="4">
        <v>853</v>
      </c>
      <c r="AA49" s="4">
        <v>953</v>
      </c>
      <c r="AB49" s="4">
        <v>7</v>
      </c>
      <c r="AC49" s="4">
        <v>7</v>
      </c>
      <c r="AD49" s="4">
        <v>40</v>
      </c>
      <c r="AE49" s="4">
        <v>43</v>
      </c>
      <c r="AF49" s="4">
        <v>17</v>
      </c>
      <c r="AG49" s="4">
        <v>17</v>
      </c>
      <c r="AH49" s="4">
        <v>7</v>
      </c>
      <c r="AI49" s="4">
        <v>8</v>
      </c>
      <c r="AJ49" s="4">
        <v>19</v>
      </c>
      <c r="AK49" s="4">
        <v>19</v>
      </c>
      <c r="AL49" s="4">
        <v>6</v>
      </c>
      <c r="AM49" s="4">
        <v>6</v>
      </c>
      <c r="AN49" s="4">
        <v>2</v>
      </c>
      <c r="AO49" s="4">
        <v>4</v>
      </c>
      <c r="AP49" s="3" t="s">
        <v>58</v>
      </c>
      <c r="AQ49" s="3" t="s">
        <v>58</v>
      </c>
      <c r="AS49" s="6" t="str">
        <f>HYPERLINK("https://creighton-primo.hosted.exlibrisgroup.com/primo-explore/search?tab=default_tab&amp;search_scope=EVERYTHING&amp;vid=01CRU&amp;lang=en_US&amp;offset=0&amp;query=any,contains,991005437689702656","Catalog Record")</f>
        <v>Catalog Record</v>
      </c>
      <c r="AT49" s="6" t="str">
        <f>HYPERLINK("http://www.worldcat.org/oclc/5471","WorldCat Record")</f>
        <v>WorldCat Record</v>
      </c>
      <c r="AU49" s="3" t="s">
        <v>694</v>
      </c>
      <c r="AV49" s="3" t="s">
        <v>695</v>
      </c>
      <c r="AW49" s="3" t="s">
        <v>696</v>
      </c>
      <c r="AX49" s="3" t="s">
        <v>696</v>
      </c>
      <c r="AY49" s="3" t="s">
        <v>697</v>
      </c>
      <c r="AZ49" s="3" t="s">
        <v>74</v>
      </c>
      <c r="BC49" s="3" t="s">
        <v>704</v>
      </c>
      <c r="BD49" s="3" t="s">
        <v>705</v>
      </c>
    </row>
    <row r="50" spans="1:56" ht="40.5" customHeight="1" x14ac:dyDescent="0.25">
      <c r="A50" s="7" t="s">
        <v>58</v>
      </c>
      <c r="B50" s="2" t="s">
        <v>706</v>
      </c>
      <c r="C50" s="2" t="s">
        <v>707</v>
      </c>
      <c r="D50" s="2" t="s">
        <v>708</v>
      </c>
      <c r="F50" s="3" t="s">
        <v>58</v>
      </c>
      <c r="G50" s="3" t="s">
        <v>59</v>
      </c>
      <c r="H50" s="3" t="s">
        <v>58</v>
      </c>
      <c r="I50" s="3" t="s">
        <v>58</v>
      </c>
      <c r="J50" s="3" t="s">
        <v>60</v>
      </c>
      <c r="K50" s="2" t="s">
        <v>709</v>
      </c>
      <c r="L50" s="2" t="s">
        <v>710</v>
      </c>
      <c r="M50" s="3" t="s">
        <v>711</v>
      </c>
      <c r="O50" s="3" t="s">
        <v>65</v>
      </c>
      <c r="P50" s="3" t="s">
        <v>66</v>
      </c>
      <c r="R50" s="3" t="s">
        <v>67</v>
      </c>
      <c r="S50" s="4">
        <v>0</v>
      </c>
      <c r="T50" s="4">
        <v>0</v>
      </c>
      <c r="U50" s="5" t="s">
        <v>712</v>
      </c>
      <c r="V50" s="5" t="s">
        <v>712</v>
      </c>
      <c r="W50" s="5" t="s">
        <v>713</v>
      </c>
      <c r="X50" s="5" t="s">
        <v>713</v>
      </c>
      <c r="Y50" s="4">
        <v>439</v>
      </c>
      <c r="Z50" s="4">
        <v>395</v>
      </c>
      <c r="AA50" s="4">
        <v>636</v>
      </c>
      <c r="AB50" s="4">
        <v>2</v>
      </c>
      <c r="AC50" s="4">
        <v>3</v>
      </c>
      <c r="AD50" s="4">
        <v>20</v>
      </c>
      <c r="AE50" s="4">
        <v>27</v>
      </c>
      <c r="AF50" s="4">
        <v>9</v>
      </c>
      <c r="AG50" s="4">
        <v>12</v>
      </c>
      <c r="AH50" s="4">
        <v>4</v>
      </c>
      <c r="AI50" s="4">
        <v>5</v>
      </c>
      <c r="AJ50" s="4">
        <v>13</v>
      </c>
      <c r="AK50" s="4">
        <v>17</v>
      </c>
      <c r="AL50" s="4">
        <v>1</v>
      </c>
      <c r="AM50" s="4">
        <v>2</v>
      </c>
      <c r="AN50" s="4">
        <v>0</v>
      </c>
      <c r="AO50" s="4">
        <v>0</v>
      </c>
      <c r="AP50" s="3" t="s">
        <v>80</v>
      </c>
      <c r="AQ50" s="3" t="s">
        <v>58</v>
      </c>
      <c r="AR50" s="6" t="str">
        <f>HYPERLINK("http://catalog.hathitrust.org/Record/001118845","HathiTrust Record")</f>
        <v>HathiTrust Record</v>
      </c>
      <c r="AS50" s="6" t="str">
        <f>HYPERLINK("https://creighton-primo.hosted.exlibrisgroup.com/primo-explore/search?tab=default_tab&amp;search_scope=EVERYTHING&amp;vid=01CRU&amp;lang=en_US&amp;offset=0&amp;query=any,contains,991003236779702656","Catalog Record")</f>
        <v>Catalog Record</v>
      </c>
      <c r="AT50" s="6" t="str">
        <f>HYPERLINK("http://www.worldcat.org/oclc/761186","WorldCat Record")</f>
        <v>WorldCat Record</v>
      </c>
      <c r="AU50" s="3" t="s">
        <v>714</v>
      </c>
      <c r="AV50" s="3" t="s">
        <v>715</v>
      </c>
      <c r="AW50" s="3" t="s">
        <v>716</v>
      </c>
      <c r="AX50" s="3" t="s">
        <v>716</v>
      </c>
      <c r="AY50" s="3" t="s">
        <v>717</v>
      </c>
      <c r="AZ50" s="3" t="s">
        <v>74</v>
      </c>
      <c r="BC50" s="3" t="s">
        <v>718</v>
      </c>
      <c r="BD50" s="3" t="s">
        <v>719</v>
      </c>
    </row>
    <row r="51" spans="1:56" ht="40.5" customHeight="1" x14ac:dyDescent="0.25">
      <c r="A51" s="7" t="s">
        <v>58</v>
      </c>
      <c r="B51" s="2" t="s">
        <v>720</v>
      </c>
      <c r="C51" s="2" t="s">
        <v>721</v>
      </c>
      <c r="D51" s="2" t="s">
        <v>722</v>
      </c>
      <c r="F51" s="3" t="s">
        <v>58</v>
      </c>
      <c r="G51" s="3" t="s">
        <v>59</v>
      </c>
      <c r="H51" s="3" t="s">
        <v>58</v>
      </c>
      <c r="I51" s="3" t="s">
        <v>58</v>
      </c>
      <c r="J51" s="3" t="s">
        <v>60</v>
      </c>
      <c r="K51" s="2" t="s">
        <v>723</v>
      </c>
      <c r="L51" s="2" t="s">
        <v>724</v>
      </c>
      <c r="M51" s="3" t="s">
        <v>532</v>
      </c>
      <c r="N51" s="2" t="s">
        <v>725</v>
      </c>
      <c r="O51" s="3" t="s">
        <v>65</v>
      </c>
      <c r="P51" s="3" t="s">
        <v>66</v>
      </c>
      <c r="R51" s="3" t="s">
        <v>67</v>
      </c>
      <c r="S51" s="4">
        <v>1</v>
      </c>
      <c r="T51" s="4">
        <v>1</v>
      </c>
      <c r="U51" s="5" t="s">
        <v>726</v>
      </c>
      <c r="V51" s="5" t="s">
        <v>726</v>
      </c>
      <c r="W51" s="5" t="s">
        <v>727</v>
      </c>
      <c r="X51" s="5" t="s">
        <v>727</v>
      </c>
      <c r="Y51" s="4">
        <v>54</v>
      </c>
      <c r="Z51" s="4">
        <v>45</v>
      </c>
      <c r="AA51" s="4">
        <v>518</v>
      </c>
      <c r="AB51" s="4">
        <v>1</v>
      </c>
      <c r="AC51" s="4">
        <v>3</v>
      </c>
      <c r="AD51" s="4">
        <v>3</v>
      </c>
      <c r="AE51" s="4">
        <v>15</v>
      </c>
      <c r="AF51" s="4">
        <v>1</v>
      </c>
      <c r="AG51" s="4">
        <v>4</v>
      </c>
      <c r="AH51" s="4">
        <v>1</v>
      </c>
      <c r="AI51" s="4">
        <v>3</v>
      </c>
      <c r="AJ51" s="4">
        <v>2</v>
      </c>
      <c r="AK51" s="4">
        <v>10</v>
      </c>
      <c r="AL51" s="4">
        <v>0</v>
      </c>
      <c r="AM51" s="4">
        <v>2</v>
      </c>
      <c r="AN51" s="4">
        <v>0</v>
      </c>
      <c r="AO51" s="4">
        <v>1</v>
      </c>
      <c r="AP51" s="3" t="s">
        <v>58</v>
      </c>
      <c r="AQ51" s="3" t="s">
        <v>58</v>
      </c>
      <c r="AS51" s="6" t="str">
        <f>HYPERLINK("https://creighton-primo.hosted.exlibrisgroup.com/primo-explore/search?tab=default_tab&amp;search_scope=EVERYTHING&amp;vid=01CRU&amp;lang=en_US&amp;offset=0&amp;query=any,contains,991004335159702656","Catalog Record")</f>
        <v>Catalog Record</v>
      </c>
      <c r="AT51" s="6" t="str">
        <f>HYPERLINK("http://www.worldcat.org/oclc/55022103","WorldCat Record")</f>
        <v>WorldCat Record</v>
      </c>
      <c r="AU51" s="3" t="s">
        <v>728</v>
      </c>
      <c r="AV51" s="3" t="s">
        <v>729</v>
      </c>
      <c r="AW51" s="3" t="s">
        <v>730</v>
      </c>
      <c r="AX51" s="3" t="s">
        <v>730</v>
      </c>
      <c r="AY51" s="3" t="s">
        <v>731</v>
      </c>
      <c r="AZ51" s="3" t="s">
        <v>74</v>
      </c>
      <c r="BB51" s="3" t="s">
        <v>732</v>
      </c>
      <c r="BC51" s="3" t="s">
        <v>733</v>
      </c>
      <c r="BD51" s="3" t="s">
        <v>734</v>
      </c>
    </row>
    <row r="52" spans="1:56" ht="40.5" customHeight="1" x14ac:dyDescent="0.25">
      <c r="A52" s="7" t="s">
        <v>58</v>
      </c>
      <c r="B52" s="2" t="s">
        <v>735</v>
      </c>
      <c r="C52" s="2" t="s">
        <v>736</v>
      </c>
      <c r="D52" s="2" t="s">
        <v>737</v>
      </c>
      <c r="F52" s="3" t="s">
        <v>58</v>
      </c>
      <c r="G52" s="3" t="s">
        <v>59</v>
      </c>
      <c r="H52" s="3" t="s">
        <v>58</v>
      </c>
      <c r="I52" s="3" t="s">
        <v>58</v>
      </c>
      <c r="J52" s="3" t="s">
        <v>60</v>
      </c>
      <c r="K52" s="2" t="s">
        <v>738</v>
      </c>
      <c r="L52" s="2" t="s">
        <v>739</v>
      </c>
      <c r="M52" s="3" t="s">
        <v>587</v>
      </c>
      <c r="O52" s="3" t="s">
        <v>65</v>
      </c>
      <c r="P52" s="3" t="s">
        <v>740</v>
      </c>
      <c r="R52" s="3" t="s">
        <v>67</v>
      </c>
      <c r="S52" s="4">
        <v>1</v>
      </c>
      <c r="T52" s="4">
        <v>1</v>
      </c>
      <c r="U52" s="5" t="s">
        <v>741</v>
      </c>
      <c r="V52" s="5" t="s">
        <v>741</v>
      </c>
      <c r="W52" s="5" t="s">
        <v>742</v>
      </c>
      <c r="X52" s="5" t="s">
        <v>742</v>
      </c>
      <c r="Y52" s="4">
        <v>276</v>
      </c>
      <c r="Z52" s="4">
        <v>249</v>
      </c>
      <c r="AA52" s="4">
        <v>250</v>
      </c>
      <c r="AB52" s="4">
        <v>1</v>
      </c>
      <c r="AC52" s="4">
        <v>1</v>
      </c>
      <c r="AD52" s="4">
        <v>14</v>
      </c>
      <c r="AE52" s="4">
        <v>14</v>
      </c>
      <c r="AF52" s="4">
        <v>3</v>
      </c>
      <c r="AG52" s="4">
        <v>3</v>
      </c>
      <c r="AH52" s="4">
        <v>3</v>
      </c>
      <c r="AI52" s="4">
        <v>3</v>
      </c>
      <c r="AJ52" s="4">
        <v>12</v>
      </c>
      <c r="AK52" s="4">
        <v>12</v>
      </c>
      <c r="AL52" s="4">
        <v>0</v>
      </c>
      <c r="AM52" s="4">
        <v>0</v>
      </c>
      <c r="AN52" s="4">
        <v>0</v>
      </c>
      <c r="AO52" s="4">
        <v>0</v>
      </c>
      <c r="AP52" s="3" t="s">
        <v>58</v>
      </c>
      <c r="AQ52" s="3" t="s">
        <v>80</v>
      </c>
      <c r="AR52" s="6" t="str">
        <f>HYPERLINK("http://catalog.hathitrust.org/Record/004209995","HathiTrust Record")</f>
        <v>HathiTrust Record</v>
      </c>
      <c r="AS52" s="6" t="str">
        <f>HYPERLINK("https://creighton-primo.hosted.exlibrisgroup.com/primo-explore/search?tab=default_tab&amp;search_scope=EVERYTHING&amp;vid=01CRU&amp;lang=en_US&amp;offset=0&amp;query=any,contains,991003754189702656","Catalog Record")</f>
        <v>Catalog Record</v>
      </c>
      <c r="AT52" s="6" t="str">
        <f>HYPERLINK("http://www.worldcat.org/oclc/46580168","WorldCat Record")</f>
        <v>WorldCat Record</v>
      </c>
      <c r="AU52" s="3" t="s">
        <v>743</v>
      </c>
      <c r="AV52" s="3" t="s">
        <v>744</v>
      </c>
      <c r="AW52" s="3" t="s">
        <v>745</v>
      </c>
      <c r="AX52" s="3" t="s">
        <v>745</v>
      </c>
      <c r="AY52" s="3" t="s">
        <v>746</v>
      </c>
      <c r="AZ52" s="3" t="s">
        <v>74</v>
      </c>
      <c r="BB52" s="3" t="s">
        <v>747</v>
      </c>
      <c r="BC52" s="3" t="s">
        <v>748</v>
      </c>
      <c r="BD52" s="3" t="s">
        <v>749</v>
      </c>
    </row>
    <row r="53" spans="1:56" ht="40.5" customHeight="1" x14ac:dyDescent="0.25">
      <c r="A53" s="7" t="s">
        <v>58</v>
      </c>
      <c r="B53" s="2" t="s">
        <v>750</v>
      </c>
      <c r="C53" s="2" t="s">
        <v>751</v>
      </c>
      <c r="D53" s="2" t="s">
        <v>752</v>
      </c>
      <c r="F53" s="3" t="s">
        <v>58</v>
      </c>
      <c r="G53" s="3" t="s">
        <v>59</v>
      </c>
      <c r="H53" s="3" t="s">
        <v>58</v>
      </c>
      <c r="I53" s="3" t="s">
        <v>58</v>
      </c>
      <c r="J53" s="3" t="s">
        <v>60</v>
      </c>
      <c r="K53" s="2" t="s">
        <v>753</v>
      </c>
      <c r="L53" s="2" t="s">
        <v>754</v>
      </c>
      <c r="M53" s="3" t="s">
        <v>243</v>
      </c>
      <c r="O53" s="3" t="s">
        <v>65</v>
      </c>
      <c r="P53" s="3" t="s">
        <v>66</v>
      </c>
      <c r="R53" s="3" t="s">
        <v>67</v>
      </c>
      <c r="S53" s="4">
        <v>1</v>
      </c>
      <c r="T53" s="4">
        <v>1</v>
      </c>
      <c r="U53" s="5" t="s">
        <v>755</v>
      </c>
      <c r="V53" s="5" t="s">
        <v>755</v>
      </c>
      <c r="W53" s="5" t="s">
        <v>756</v>
      </c>
      <c r="X53" s="5" t="s">
        <v>756</v>
      </c>
      <c r="Y53" s="4">
        <v>389</v>
      </c>
      <c r="Z53" s="4">
        <v>331</v>
      </c>
      <c r="AA53" s="4">
        <v>337</v>
      </c>
      <c r="AB53" s="4">
        <v>3</v>
      </c>
      <c r="AC53" s="4">
        <v>3</v>
      </c>
      <c r="AD53" s="4">
        <v>18</v>
      </c>
      <c r="AE53" s="4">
        <v>18</v>
      </c>
      <c r="AF53" s="4">
        <v>4</v>
      </c>
      <c r="AG53" s="4">
        <v>4</v>
      </c>
      <c r="AH53" s="4">
        <v>6</v>
      </c>
      <c r="AI53" s="4">
        <v>6</v>
      </c>
      <c r="AJ53" s="4">
        <v>13</v>
      </c>
      <c r="AK53" s="4">
        <v>13</v>
      </c>
      <c r="AL53" s="4">
        <v>2</v>
      </c>
      <c r="AM53" s="4">
        <v>2</v>
      </c>
      <c r="AN53" s="4">
        <v>0</v>
      </c>
      <c r="AO53" s="4">
        <v>0</v>
      </c>
      <c r="AP53" s="3" t="s">
        <v>58</v>
      </c>
      <c r="AQ53" s="3" t="s">
        <v>80</v>
      </c>
      <c r="AR53" s="6" t="str">
        <f>HYPERLINK("http://catalog.hathitrust.org/Record/002490758","HathiTrust Record")</f>
        <v>HathiTrust Record</v>
      </c>
      <c r="AS53" s="6" t="str">
        <f>HYPERLINK("https://creighton-primo.hosted.exlibrisgroup.com/primo-explore/search?tab=default_tab&amp;search_scope=EVERYTHING&amp;vid=01CRU&amp;lang=en_US&amp;offset=0&amp;query=any,contains,991001840059702656","Catalog Record")</f>
        <v>Catalog Record</v>
      </c>
      <c r="AT53" s="6" t="str">
        <f>HYPERLINK("http://www.worldcat.org/oclc/23139139","WorldCat Record")</f>
        <v>WorldCat Record</v>
      </c>
      <c r="AU53" s="3" t="s">
        <v>757</v>
      </c>
      <c r="AV53" s="3" t="s">
        <v>758</v>
      </c>
      <c r="AW53" s="3" t="s">
        <v>759</v>
      </c>
      <c r="AX53" s="3" t="s">
        <v>759</v>
      </c>
      <c r="AY53" s="3" t="s">
        <v>760</v>
      </c>
      <c r="AZ53" s="3" t="s">
        <v>74</v>
      </c>
      <c r="BB53" s="3" t="s">
        <v>761</v>
      </c>
      <c r="BC53" s="3" t="s">
        <v>762</v>
      </c>
      <c r="BD53" s="3" t="s">
        <v>763</v>
      </c>
    </row>
    <row r="54" spans="1:56" ht="40.5" customHeight="1" x14ac:dyDescent="0.25">
      <c r="A54" s="7" t="s">
        <v>58</v>
      </c>
      <c r="B54" s="2" t="s">
        <v>764</v>
      </c>
      <c r="C54" s="2" t="s">
        <v>765</v>
      </c>
      <c r="D54" s="2" t="s">
        <v>766</v>
      </c>
      <c r="F54" s="3" t="s">
        <v>58</v>
      </c>
      <c r="G54" s="3" t="s">
        <v>59</v>
      </c>
      <c r="H54" s="3" t="s">
        <v>58</v>
      </c>
      <c r="I54" s="3" t="s">
        <v>58</v>
      </c>
      <c r="J54" s="3" t="s">
        <v>60</v>
      </c>
      <c r="K54" s="2" t="s">
        <v>767</v>
      </c>
      <c r="L54" s="2" t="s">
        <v>768</v>
      </c>
      <c r="M54" s="3" t="s">
        <v>769</v>
      </c>
      <c r="O54" s="3" t="s">
        <v>65</v>
      </c>
      <c r="P54" s="3" t="s">
        <v>770</v>
      </c>
      <c r="R54" s="3" t="s">
        <v>67</v>
      </c>
      <c r="S54" s="4">
        <v>0</v>
      </c>
      <c r="T54" s="4">
        <v>0</v>
      </c>
      <c r="U54" s="5" t="s">
        <v>771</v>
      </c>
      <c r="V54" s="5" t="s">
        <v>771</v>
      </c>
      <c r="W54" s="5" t="s">
        <v>679</v>
      </c>
      <c r="X54" s="5" t="s">
        <v>679</v>
      </c>
      <c r="Y54" s="4">
        <v>67</v>
      </c>
      <c r="Z54" s="4">
        <v>37</v>
      </c>
      <c r="AA54" s="4">
        <v>292</v>
      </c>
      <c r="AB54" s="4">
        <v>1</v>
      </c>
      <c r="AC54" s="4">
        <v>2</v>
      </c>
      <c r="AD54" s="4">
        <v>5</v>
      </c>
      <c r="AE54" s="4">
        <v>19</v>
      </c>
      <c r="AF54" s="4">
        <v>2</v>
      </c>
      <c r="AG54" s="4">
        <v>6</v>
      </c>
      <c r="AH54" s="4">
        <v>2</v>
      </c>
      <c r="AI54" s="4">
        <v>6</v>
      </c>
      <c r="AJ54" s="4">
        <v>4</v>
      </c>
      <c r="AK54" s="4">
        <v>13</v>
      </c>
      <c r="AL54" s="4">
        <v>0</v>
      </c>
      <c r="AM54" s="4">
        <v>1</v>
      </c>
      <c r="AN54" s="4">
        <v>0</v>
      </c>
      <c r="AO54" s="4">
        <v>0</v>
      </c>
      <c r="AP54" s="3" t="s">
        <v>58</v>
      </c>
      <c r="AQ54" s="3" t="s">
        <v>58</v>
      </c>
      <c r="AS54" s="6" t="str">
        <f>HYPERLINK("https://creighton-primo.hosted.exlibrisgroup.com/primo-explore/search?tab=default_tab&amp;search_scope=EVERYTHING&amp;vid=01CRU&amp;lang=en_US&amp;offset=0&amp;query=any,contains,991004957949702656","Catalog Record")</f>
        <v>Catalog Record</v>
      </c>
      <c r="AT54" s="6" t="str">
        <f>HYPERLINK("http://www.worldcat.org/oclc/6288714","WorldCat Record")</f>
        <v>WorldCat Record</v>
      </c>
      <c r="AU54" s="3" t="s">
        <v>772</v>
      </c>
      <c r="AV54" s="3" t="s">
        <v>773</v>
      </c>
      <c r="AW54" s="3" t="s">
        <v>774</v>
      </c>
      <c r="AX54" s="3" t="s">
        <v>774</v>
      </c>
      <c r="AY54" s="3" t="s">
        <v>775</v>
      </c>
      <c r="AZ54" s="3" t="s">
        <v>74</v>
      </c>
      <c r="BC54" s="3" t="s">
        <v>776</v>
      </c>
      <c r="BD54" s="3" t="s">
        <v>777</v>
      </c>
    </row>
    <row r="55" spans="1:56" ht="40.5" customHeight="1" x14ac:dyDescent="0.25">
      <c r="A55" s="7" t="s">
        <v>58</v>
      </c>
      <c r="B55" s="2" t="s">
        <v>778</v>
      </c>
      <c r="C55" s="2" t="s">
        <v>779</v>
      </c>
      <c r="D55" s="2" t="s">
        <v>780</v>
      </c>
      <c r="F55" s="3" t="s">
        <v>58</v>
      </c>
      <c r="G55" s="3" t="s">
        <v>59</v>
      </c>
      <c r="H55" s="3" t="s">
        <v>58</v>
      </c>
      <c r="I55" s="3" t="s">
        <v>58</v>
      </c>
      <c r="J55" s="3" t="s">
        <v>60</v>
      </c>
      <c r="K55" s="2" t="s">
        <v>781</v>
      </c>
      <c r="L55" s="2" t="s">
        <v>782</v>
      </c>
      <c r="M55" s="3" t="s">
        <v>783</v>
      </c>
      <c r="O55" s="3" t="s">
        <v>65</v>
      </c>
      <c r="P55" s="3" t="s">
        <v>169</v>
      </c>
      <c r="Q55" s="2" t="s">
        <v>784</v>
      </c>
      <c r="R55" s="3" t="s">
        <v>67</v>
      </c>
      <c r="S55" s="4">
        <v>1</v>
      </c>
      <c r="T55" s="4">
        <v>1</v>
      </c>
      <c r="U55" s="5" t="s">
        <v>785</v>
      </c>
      <c r="V55" s="5" t="s">
        <v>785</v>
      </c>
      <c r="W55" s="5" t="s">
        <v>114</v>
      </c>
      <c r="X55" s="5" t="s">
        <v>114</v>
      </c>
      <c r="Y55" s="4">
        <v>293</v>
      </c>
      <c r="Z55" s="4">
        <v>246</v>
      </c>
      <c r="AA55" s="4">
        <v>299</v>
      </c>
      <c r="AB55" s="4">
        <v>2</v>
      </c>
      <c r="AC55" s="4">
        <v>2</v>
      </c>
      <c r="AD55" s="4">
        <v>11</v>
      </c>
      <c r="AE55" s="4">
        <v>13</v>
      </c>
      <c r="AF55" s="4">
        <v>4</v>
      </c>
      <c r="AG55" s="4">
        <v>4</v>
      </c>
      <c r="AH55" s="4">
        <v>3</v>
      </c>
      <c r="AI55" s="4">
        <v>4</v>
      </c>
      <c r="AJ55" s="4">
        <v>7</v>
      </c>
      <c r="AK55" s="4">
        <v>7</v>
      </c>
      <c r="AL55" s="4">
        <v>1</v>
      </c>
      <c r="AM55" s="4">
        <v>1</v>
      </c>
      <c r="AN55" s="4">
        <v>0</v>
      </c>
      <c r="AO55" s="4">
        <v>1</v>
      </c>
      <c r="AP55" s="3" t="s">
        <v>80</v>
      </c>
      <c r="AQ55" s="3" t="s">
        <v>58</v>
      </c>
      <c r="AR55" s="6" t="str">
        <f>HYPERLINK("http://catalog.hathitrust.org/Record/006293899","HathiTrust Record")</f>
        <v>HathiTrust Record</v>
      </c>
      <c r="AS55" s="6" t="str">
        <f>HYPERLINK("https://creighton-primo.hosted.exlibrisgroup.com/primo-explore/search?tab=default_tab&amp;search_scope=EVERYTHING&amp;vid=01CRU&amp;lang=en_US&amp;offset=0&amp;query=any,contains,991003712529702656","Catalog Record")</f>
        <v>Catalog Record</v>
      </c>
      <c r="AT55" s="6" t="str">
        <f>HYPERLINK("http://www.worldcat.org/oclc/1354418","WorldCat Record")</f>
        <v>WorldCat Record</v>
      </c>
      <c r="AU55" s="3" t="s">
        <v>786</v>
      </c>
      <c r="AV55" s="3" t="s">
        <v>787</v>
      </c>
      <c r="AW55" s="3" t="s">
        <v>788</v>
      </c>
      <c r="AX55" s="3" t="s">
        <v>788</v>
      </c>
      <c r="AY55" s="3" t="s">
        <v>789</v>
      </c>
      <c r="AZ55" s="3" t="s">
        <v>74</v>
      </c>
      <c r="BC55" s="3" t="s">
        <v>790</v>
      </c>
      <c r="BD55" s="3" t="s">
        <v>791</v>
      </c>
    </row>
    <row r="56" spans="1:56" ht="40.5" customHeight="1" x14ac:dyDescent="0.25">
      <c r="A56" s="7" t="s">
        <v>58</v>
      </c>
      <c r="B56" s="2" t="s">
        <v>792</v>
      </c>
      <c r="C56" s="2" t="s">
        <v>793</v>
      </c>
      <c r="D56" s="2" t="s">
        <v>794</v>
      </c>
      <c r="F56" s="3" t="s">
        <v>58</v>
      </c>
      <c r="G56" s="3" t="s">
        <v>59</v>
      </c>
      <c r="H56" s="3" t="s">
        <v>80</v>
      </c>
      <c r="I56" s="3" t="s">
        <v>58</v>
      </c>
      <c r="J56" s="3" t="s">
        <v>60</v>
      </c>
      <c r="K56" s="2" t="s">
        <v>795</v>
      </c>
      <c r="L56" s="2" t="s">
        <v>796</v>
      </c>
      <c r="M56" s="3" t="s">
        <v>303</v>
      </c>
      <c r="N56" s="2" t="s">
        <v>84</v>
      </c>
      <c r="O56" s="3" t="s">
        <v>65</v>
      </c>
      <c r="P56" s="3" t="s">
        <v>66</v>
      </c>
      <c r="R56" s="3" t="s">
        <v>67</v>
      </c>
      <c r="S56" s="4">
        <v>1</v>
      </c>
      <c r="T56" s="4">
        <v>1</v>
      </c>
      <c r="U56" s="5" t="s">
        <v>797</v>
      </c>
      <c r="V56" s="5" t="s">
        <v>797</v>
      </c>
      <c r="W56" s="5" t="s">
        <v>797</v>
      </c>
      <c r="X56" s="5" t="s">
        <v>798</v>
      </c>
      <c r="Y56" s="4">
        <v>1768</v>
      </c>
      <c r="Z56" s="4">
        <v>1663</v>
      </c>
      <c r="AA56" s="4">
        <v>1804</v>
      </c>
      <c r="AB56" s="4">
        <v>14</v>
      </c>
      <c r="AC56" s="4">
        <v>14</v>
      </c>
      <c r="AD56" s="4">
        <v>44</v>
      </c>
      <c r="AE56" s="4">
        <v>47</v>
      </c>
      <c r="AF56" s="4">
        <v>19</v>
      </c>
      <c r="AG56" s="4">
        <v>21</v>
      </c>
      <c r="AH56" s="4">
        <v>6</v>
      </c>
      <c r="AI56" s="4">
        <v>7</v>
      </c>
      <c r="AJ56" s="4">
        <v>16</v>
      </c>
      <c r="AK56" s="4">
        <v>17</v>
      </c>
      <c r="AL56" s="4">
        <v>8</v>
      </c>
      <c r="AM56" s="4">
        <v>8</v>
      </c>
      <c r="AN56" s="4">
        <v>3</v>
      </c>
      <c r="AO56" s="4">
        <v>3</v>
      </c>
      <c r="AP56" s="3" t="s">
        <v>58</v>
      </c>
      <c r="AQ56" s="3" t="s">
        <v>58</v>
      </c>
      <c r="AS56" s="6" t="str">
        <f>HYPERLINK("https://creighton-primo.hosted.exlibrisgroup.com/primo-explore/search?tab=default_tab&amp;search_scope=EVERYTHING&amp;vid=01CRU&amp;lang=en_US&amp;offset=0&amp;query=any,contains,991001810609702656","Catalog Record")</f>
        <v>Catalog Record</v>
      </c>
      <c r="AT56" s="6" t="str">
        <f>HYPERLINK("http://www.worldcat.org/oclc/299706971","WorldCat Record")</f>
        <v>WorldCat Record</v>
      </c>
      <c r="AU56" s="3" t="s">
        <v>799</v>
      </c>
      <c r="AV56" s="3" t="s">
        <v>800</v>
      </c>
      <c r="AW56" s="3" t="s">
        <v>801</v>
      </c>
      <c r="AX56" s="3" t="s">
        <v>801</v>
      </c>
      <c r="AY56" s="3" t="s">
        <v>802</v>
      </c>
      <c r="AZ56" s="3" t="s">
        <v>74</v>
      </c>
      <c r="BB56" s="3" t="s">
        <v>803</v>
      </c>
      <c r="BC56" s="3" t="s">
        <v>804</v>
      </c>
      <c r="BD56" s="3" t="s">
        <v>805</v>
      </c>
    </row>
    <row r="57" spans="1:56" ht="40.5" customHeight="1" x14ac:dyDescent="0.25">
      <c r="A57" s="7" t="s">
        <v>58</v>
      </c>
      <c r="B57" s="2" t="s">
        <v>806</v>
      </c>
      <c r="C57" s="2" t="s">
        <v>807</v>
      </c>
      <c r="D57" s="2" t="s">
        <v>808</v>
      </c>
      <c r="F57" s="3" t="s">
        <v>58</v>
      </c>
      <c r="G57" s="3" t="s">
        <v>59</v>
      </c>
      <c r="H57" s="3" t="s">
        <v>58</v>
      </c>
      <c r="I57" s="3" t="s">
        <v>58</v>
      </c>
      <c r="J57" s="3" t="s">
        <v>60</v>
      </c>
      <c r="K57" s="2" t="s">
        <v>809</v>
      </c>
      <c r="L57" s="2" t="s">
        <v>810</v>
      </c>
      <c r="M57" s="3" t="s">
        <v>405</v>
      </c>
      <c r="O57" s="3" t="s">
        <v>65</v>
      </c>
      <c r="P57" s="3" t="s">
        <v>66</v>
      </c>
      <c r="R57" s="3" t="s">
        <v>67</v>
      </c>
      <c r="S57" s="4">
        <v>1</v>
      </c>
      <c r="T57" s="4">
        <v>1</v>
      </c>
      <c r="U57" s="5" t="s">
        <v>811</v>
      </c>
      <c r="V57" s="5" t="s">
        <v>811</v>
      </c>
      <c r="W57" s="5" t="s">
        <v>812</v>
      </c>
      <c r="X57" s="5" t="s">
        <v>812</v>
      </c>
      <c r="Y57" s="4">
        <v>511</v>
      </c>
      <c r="Z57" s="4">
        <v>395</v>
      </c>
      <c r="AA57" s="4">
        <v>401</v>
      </c>
      <c r="AB57" s="4">
        <v>3</v>
      </c>
      <c r="AC57" s="4">
        <v>3</v>
      </c>
      <c r="AD57" s="4">
        <v>21</v>
      </c>
      <c r="AE57" s="4">
        <v>21</v>
      </c>
      <c r="AF57" s="4">
        <v>5</v>
      </c>
      <c r="AG57" s="4">
        <v>5</v>
      </c>
      <c r="AH57" s="4">
        <v>5</v>
      </c>
      <c r="AI57" s="4">
        <v>5</v>
      </c>
      <c r="AJ57" s="4">
        <v>14</v>
      </c>
      <c r="AK57" s="4">
        <v>14</v>
      </c>
      <c r="AL57" s="4">
        <v>2</v>
      </c>
      <c r="AM57" s="4">
        <v>2</v>
      </c>
      <c r="AN57" s="4">
        <v>0</v>
      </c>
      <c r="AO57" s="4">
        <v>0</v>
      </c>
      <c r="AP57" s="3" t="s">
        <v>58</v>
      </c>
      <c r="AQ57" s="3" t="s">
        <v>58</v>
      </c>
      <c r="AS57" s="6" t="str">
        <f>HYPERLINK("https://creighton-primo.hosted.exlibrisgroup.com/primo-explore/search?tab=default_tab&amp;search_scope=EVERYTHING&amp;vid=01CRU&amp;lang=en_US&amp;offset=0&amp;query=any,contains,991004407539702656","Catalog Record")</f>
        <v>Catalog Record</v>
      </c>
      <c r="AT57" s="6" t="str">
        <f>HYPERLINK("http://www.worldcat.org/oclc/3327429","WorldCat Record")</f>
        <v>WorldCat Record</v>
      </c>
      <c r="AU57" s="3" t="s">
        <v>813</v>
      </c>
      <c r="AV57" s="3" t="s">
        <v>814</v>
      </c>
      <c r="AW57" s="3" t="s">
        <v>815</v>
      </c>
      <c r="AX57" s="3" t="s">
        <v>815</v>
      </c>
      <c r="AY57" s="3" t="s">
        <v>816</v>
      </c>
      <c r="AZ57" s="3" t="s">
        <v>74</v>
      </c>
      <c r="BB57" s="3" t="s">
        <v>817</v>
      </c>
      <c r="BC57" s="3" t="s">
        <v>818</v>
      </c>
      <c r="BD57" s="3" t="s">
        <v>819</v>
      </c>
    </row>
    <row r="58" spans="1:56" ht="40.5" customHeight="1" x14ac:dyDescent="0.25">
      <c r="A58" s="7" t="s">
        <v>58</v>
      </c>
      <c r="B58" s="2" t="s">
        <v>820</v>
      </c>
      <c r="C58" s="2" t="s">
        <v>821</v>
      </c>
      <c r="D58" s="2" t="s">
        <v>822</v>
      </c>
      <c r="F58" s="3" t="s">
        <v>58</v>
      </c>
      <c r="G58" s="3" t="s">
        <v>59</v>
      </c>
      <c r="H58" s="3" t="s">
        <v>58</v>
      </c>
      <c r="I58" s="3" t="s">
        <v>58</v>
      </c>
      <c r="J58" s="3" t="s">
        <v>60</v>
      </c>
      <c r="K58" s="2" t="s">
        <v>823</v>
      </c>
      <c r="L58" s="2" t="s">
        <v>824</v>
      </c>
      <c r="M58" s="3" t="s">
        <v>243</v>
      </c>
      <c r="O58" s="3" t="s">
        <v>65</v>
      </c>
      <c r="P58" s="3" t="s">
        <v>275</v>
      </c>
      <c r="R58" s="3" t="s">
        <v>67</v>
      </c>
      <c r="S58" s="4">
        <v>1</v>
      </c>
      <c r="T58" s="4">
        <v>1</v>
      </c>
      <c r="U58" s="5" t="s">
        <v>825</v>
      </c>
      <c r="V58" s="5" t="s">
        <v>825</v>
      </c>
      <c r="W58" s="5" t="s">
        <v>826</v>
      </c>
      <c r="X58" s="5" t="s">
        <v>826</v>
      </c>
      <c r="Y58" s="4">
        <v>254</v>
      </c>
      <c r="Z58" s="4">
        <v>156</v>
      </c>
      <c r="AA58" s="4">
        <v>185</v>
      </c>
      <c r="AB58" s="4">
        <v>1</v>
      </c>
      <c r="AC58" s="4">
        <v>1</v>
      </c>
      <c r="AD58" s="4">
        <v>10</v>
      </c>
      <c r="AE58" s="4">
        <v>10</v>
      </c>
      <c r="AF58" s="4">
        <v>3</v>
      </c>
      <c r="AG58" s="4">
        <v>3</v>
      </c>
      <c r="AH58" s="4">
        <v>3</v>
      </c>
      <c r="AI58" s="4">
        <v>3</v>
      </c>
      <c r="AJ58" s="4">
        <v>7</v>
      </c>
      <c r="AK58" s="4">
        <v>7</v>
      </c>
      <c r="AL58" s="4">
        <v>0</v>
      </c>
      <c r="AM58" s="4">
        <v>0</v>
      </c>
      <c r="AN58" s="4">
        <v>1</v>
      </c>
      <c r="AO58" s="4">
        <v>1</v>
      </c>
      <c r="AP58" s="3" t="s">
        <v>58</v>
      </c>
      <c r="AQ58" s="3" t="s">
        <v>58</v>
      </c>
      <c r="AS58" s="6" t="str">
        <f>HYPERLINK("https://creighton-primo.hosted.exlibrisgroup.com/primo-explore/search?tab=default_tab&amp;search_scope=EVERYTHING&amp;vid=01CRU&amp;lang=en_US&amp;offset=0&amp;query=any,contains,991001750769702656","Catalog Record")</f>
        <v>Catalog Record</v>
      </c>
      <c r="AT58" s="6" t="str">
        <f>HYPERLINK("http://www.worldcat.org/oclc/22181122","WorldCat Record")</f>
        <v>WorldCat Record</v>
      </c>
      <c r="AU58" s="3" t="s">
        <v>827</v>
      </c>
      <c r="AV58" s="3" t="s">
        <v>828</v>
      </c>
      <c r="AW58" s="3" t="s">
        <v>829</v>
      </c>
      <c r="AX58" s="3" t="s">
        <v>829</v>
      </c>
      <c r="AY58" s="3" t="s">
        <v>830</v>
      </c>
      <c r="AZ58" s="3" t="s">
        <v>74</v>
      </c>
      <c r="BB58" s="3" t="s">
        <v>831</v>
      </c>
      <c r="BC58" s="3" t="s">
        <v>832</v>
      </c>
      <c r="BD58" s="3" t="s">
        <v>833</v>
      </c>
    </row>
    <row r="59" spans="1:56" ht="40.5" customHeight="1" x14ac:dyDescent="0.25">
      <c r="A59" s="7" t="s">
        <v>58</v>
      </c>
      <c r="B59" s="2" t="s">
        <v>834</v>
      </c>
      <c r="C59" s="2" t="s">
        <v>835</v>
      </c>
      <c r="D59" s="2" t="s">
        <v>836</v>
      </c>
      <c r="F59" s="3" t="s">
        <v>58</v>
      </c>
      <c r="G59" s="3" t="s">
        <v>59</v>
      </c>
      <c r="H59" s="3" t="s">
        <v>58</v>
      </c>
      <c r="I59" s="3" t="s">
        <v>58</v>
      </c>
      <c r="J59" s="3" t="s">
        <v>60</v>
      </c>
      <c r="K59" s="2" t="s">
        <v>837</v>
      </c>
      <c r="L59" s="2" t="s">
        <v>838</v>
      </c>
      <c r="M59" s="3" t="s">
        <v>839</v>
      </c>
      <c r="O59" s="3" t="s">
        <v>65</v>
      </c>
      <c r="P59" s="3" t="s">
        <v>66</v>
      </c>
      <c r="Q59" s="2" t="s">
        <v>840</v>
      </c>
      <c r="R59" s="3" t="s">
        <v>67</v>
      </c>
      <c r="S59" s="4">
        <v>1</v>
      </c>
      <c r="T59" s="4">
        <v>1</v>
      </c>
      <c r="U59" s="5" t="s">
        <v>841</v>
      </c>
      <c r="V59" s="5" t="s">
        <v>841</v>
      </c>
      <c r="W59" s="5" t="s">
        <v>114</v>
      </c>
      <c r="X59" s="5" t="s">
        <v>114</v>
      </c>
      <c r="Y59" s="4">
        <v>86</v>
      </c>
      <c r="Z59" s="4">
        <v>70</v>
      </c>
      <c r="AA59" s="4">
        <v>76</v>
      </c>
      <c r="AB59" s="4">
        <v>2</v>
      </c>
      <c r="AC59" s="4">
        <v>2</v>
      </c>
      <c r="AD59" s="4">
        <v>3</v>
      </c>
      <c r="AE59" s="4">
        <v>3</v>
      </c>
      <c r="AF59" s="4">
        <v>0</v>
      </c>
      <c r="AG59" s="4">
        <v>0</v>
      </c>
      <c r="AH59" s="4">
        <v>0</v>
      </c>
      <c r="AI59" s="4">
        <v>0</v>
      </c>
      <c r="AJ59" s="4">
        <v>2</v>
      </c>
      <c r="AK59" s="4">
        <v>2</v>
      </c>
      <c r="AL59" s="4">
        <v>1</v>
      </c>
      <c r="AM59" s="4">
        <v>1</v>
      </c>
      <c r="AN59" s="4">
        <v>0</v>
      </c>
      <c r="AO59" s="4">
        <v>0</v>
      </c>
      <c r="AP59" s="3" t="s">
        <v>58</v>
      </c>
      <c r="AQ59" s="3" t="s">
        <v>80</v>
      </c>
      <c r="AR59" s="6" t="str">
        <f>HYPERLINK("http://catalog.hathitrust.org/Record/009515476","HathiTrust Record")</f>
        <v>HathiTrust Record</v>
      </c>
      <c r="AS59" s="6" t="str">
        <f>HYPERLINK("https://creighton-primo.hosted.exlibrisgroup.com/primo-explore/search?tab=default_tab&amp;search_scope=EVERYTHING&amp;vid=01CRU&amp;lang=en_US&amp;offset=0&amp;query=any,contains,991005434909702656","Catalog Record")</f>
        <v>Catalog Record</v>
      </c>
      <c r="AT59" s="6" t="str">
        <f>HYPERLINK("http://www.worldcat.org/oclc/2675","WorldCat Record")</f>
        <v>WorldCat Record</v>
      </c>
      <c r="AU59" s="3" t="s">
        <v>842</v>
      </c>
      <c r="AV59" s="3" t="s">
        <v>843</v>
      </c>
      <c r="AW59" s="3" t="s">
        <v>844</v>
      </c>
      <c r="AX59" s="3" t="s">
        <v>844</v>
      </c>
      <c r="AY59" s="3" t="s">
        <v>845</v>
      </c>
      <c r="AZ59" s="3" t="s">
        <v>74</v>
      </c>
      <c r="BC59" s="3" t="s">
        <v>846</v>
      </c>
      <c r="BD59" s="3" t="s">
        <v>847</v>
      </c>
    </row>
    <row r="60" spans="1:56" ht="40.5" customHeight="1" x14ac:dyDescent="0.25">
      <c r="A60" s="7" t="s">
        <v>58</v>
      </c>
      <c r="B60" s="2" t="s">
        <v>848</v>
      </c>
      <c r="C60" s="2" t="s">
        <v>849</v>
      </c>
      <c r="D60" s="2" t="s">
        <v>850</v>
      </c>
      <c r="F60" s="3" t="s">
        <v>58</v>
      </c>
      <c r="G60" s="3" t="s">
        <v>59</v>
      </c>
      <c r="H60" s="3" t="s">
        <v>58</v>
      </c>
      <c r="I60" s="3" t="s">
        <v>58</v>
      </c>
      <c r="J60" s="3" t="s">
        <v>60</v>
      </c>
      <c r="K60" s="2" t="s">
        <v>851</v>
      </c>
      <c r="L60" s="2" t="s">
        <v>852</v>
      </c>
      <c r="M60" s="3" t="s">
        <v>196</v>
      </c>
      <c r="O60" s="3" t="s">
        <v>65</v>
      </c>
      <c r="P60" s="3" t="s">
        <v>66</v>
      </c>
      <c r="Q60" s="2" t="s">
        <v>853</v>
      </c>
      <c r="R60" s="3" t="s">
        <v>67</v>
      </c>
      <c r="S60" s="4">
        <v>1</v>
      </c>
      <c r="T60" s="4">
        <v>1</v>
      </c>
      <c r="U60" s="5" t="s">
        <v>854</v>
      </c>
      <c r="V60" s="5" t="s">
        <v>854</v>
      </c>
      <c r="W60" s="5" t="s">
        <v>854</v>
      </c>
      <c r="X60" s="5" t="s">
        <v>854</v>
      </c>
      <c r="Y60" s="4">
        <v>69</v>
      </c>
      <c r="Z60" s="4">
        <v>47</v>
      </c>
      <c r="AA60" s="4">
        <v>47</v>
      </c>
      <c r="AB60" s="4">
        <v>1</v>
      </c>
      <c r="AC60" s="4">
        <v>1</v>
      </c>
      <c r="AD60" s="4">
        <v>3</v>
      </c>
      <c r="AE60" s="4">
        <v>3</v>
      </c>
      <c r="AF60" s="4">
        <v>1</v>
      </c>
      <c r="AG60" s="4">
        <v>1</v>
      </c>
      <c r="AH60" s="4">
        <v>1</v>
      </c>
      <c r="AI60" s="4">
        <v>1</v>
      </c>
      <c r="AJ60" s="4">
        <v>2</v>
      </c>
      <c r="AK60" s="4">
        <v>2</v>
      </c>
      <c r="AL60" s="4">
        <v>0</v>
      </c>
      <c r="AM60" s="4">
        <v>0</v>
      </c>
      <c r="AN60" s="4">
        <v>0</v>
      </c>
      <c r="AO60" s="4">
        <v>0</v>
      </c>
      <c r="AP60" s="3" t="s">
        <v>58</v>
      </c>
      <c r="AQ60" s="3" t="s">
        <v>58</v>
      </c>
      <c r="AS60" s="6" t="str">
        <f>HYPERLINK("https://creighton-primo.hosted.exlibrisgroup.com/primo-explore/search?tab=default_tab&amp;search_scope=EVERYTHING&amp;vid=01CRU&amp;lang=en_US&amp;offset=0&amp;query=any,contains,991004348009702656","Catalog Record")</f>
        <v>Catalog Record</v>
      </c>
      <c r="AT60" s="6" t="str">
        <f>HYPERLINK("http://www.worldcat.org/oclc/40990165","WorldCat Record")</f>
        <v>WorldCat Record</v>
      </c>
      <c r="AU60" s="3" t="s">
        <v>855</v>
      </c>
      <c r="AV60" s="3" t="s">
        <v>856</v>
      </c>
      <c r="AW60" s="3" t="s">
        <v>857</v>
      </c>
      <c r="AX60" s="3" t="s">
        <v>857</v>
      </c>
      <c r="AY60" s="3" t="s">
        <v>858</v>
      </c>
      <c r="AZ60" s="3" t="s">
        <v>74</v>
      </c>
      <c r="BB60" s="3" t="s">
        <v>859</v>
      </c>
      <c r="BC60" s="3" t="s">
        <v>860</v>
      </c>
      <c r="BD60" s="3" t="s">
        <v>861</v>
      </c>
    </row>
    <row r="61" spans="1:56" ht="40.5" customHeight="1" x14ac:dyDescent="0.25">
      <c r="A61" s="7" t="s">
        <v>58</v>
      </c>
      <c r="B61" s="2" t="s">
        <v>862</v>
      </c>
      <c r="C61" s="2" t="s">
        <v>863</v>
      </c>
      <c r="D61" s="2" t="s">
        <v>864</v>
      </c>
      <c r="F61" s="3" t="s">
        <v>58</v>
      </c>
      <c r="G61" s="3" t="s">
        <v>59</v>
      </c>
      <c r="H61" s="3" t="s">
        <v>58</v>
      </c>
      <c r="I61" s="3" t="s">
        <v>58</v>
      </c>
      <c r="J61" s="3" t="s">
        <v>60</v>
      </c>
      <c r="K61" s="2" t="s">
        <v>865</v>
      </c>
      <c r="L61" s="2" t="s">
        <v>866</v>
      </c>
      <c r="M61" s="3" t="s">
        <v>274</v>
      </c>
      <c r="O61" s="3" t="s">
        <v>65</v>
      </c>
      <c r="P61" s="3" t="s">
        <v>66</v>
      </c>
      <c r="R61" s="3" t="s">
        <v>67</v>
      </c>
      <c r="S61" s="4">
        <v>1</v>
      </c>
      <c r="T61" s="4">
        <v>1</v>
      </c>
      <c r="U61" s="5" t="s">
        <v>867</v>
      </c>
      <c r="V61" s="5" t="s">
        <v>867</v>
      </c>
      <c r="W61" s="5" t="s">
        <v>868</v>
      </c>
      <c r="X61" s="5" t="s">
        <v>868</v>
      </c>
      <c r="Y61" s="4">
        <v>379</v>
      </c>
      <c r="Z61" s="4">
        <v>316</v>
      </c>
      <c r="AA61" s="4">
        <v>342</v>
      </c>
      <c r="AB61" s="4">
        <v>3</v>
      </c>
      <c r="AC61" s="4">
        <v>3</v>
      </c>
      <c r="AD61" s="4">
        <v>20</v>
      </c>
      <c r="AE61" s="4">
        <v>20</v>
      </c>
      <c r="AF61" s="4">
        <v>6</v>
      </c>
      <c r="AG61" s="4">
        <v>6</v>
      </c>
      <c r="AH61" s="4">
        <v>4</v>
      </c>
      <c r="AI61" s="4">
        <v>4</v>
      </c>
      <c r="AJ61" s="4">
        <v>11</v>
      </c>
      <c r="AK61" s="4">
        <v>11</v>
      </c>
      <c r="AL61" s="4">
        <v>2</v>
      </c>
      <c r="AM61" s="4">
        <v>2</v>
      </c>
      <c r="AN61" s="4">
        <v>1</v>
      </c>
      <c r="AO61" s="4">
        <v>1</v>
      </c>
      <c r="AP61" s="3" t="s">
        <v>58</v>
      </c>
      <c r="AQ61" s="3" t="s">
        <v>58</v>
      </c>
      <c r="AS61" s="6" t="str">
        <f>HYPERLINK("https://creighton-primo.hosted.exlibrisgroup.com/primo-explore/search?tab=default_tab&amp;search_scope=EVERYTHING&amp;vid=01CRU&amp;lang=en_US&amp;offset=0&amp;query=any,contains,991003016649702656","Catalog Record")</f>
        <v>Catalog Record</v>
      </c>
      <c r="AT61" s="6" t="str">
        <f>HYPERLINK("http://www.worldcat.org/oclc/41039847","WorldCat Record")</f>
        <v>WorldCat Record</v>
      </c>
      <c r="AU61" s="3" t="s">
        <v>869</v>
      </c>
      <c r="AV61" s="3" t="s">
        <v>870</v>
      </c>
      <c r="AW61" s="3" t="s">
        <v>871</v>
      </c>
      <c r="AX61" s="3" t="s">
        <v>871</v>
      </c>
      <c r="AY61" s="3" t="s">
        <v>872</v>
      </c>
      <c r="AZ61" s="3" t="s">
        <v>74</v>
      </c>
      <c r="BB61" s="3" t="s">
        <v>873</v>
      </c>
      <c r="BC61" s="3" t="s">
        <v>874</v>
      </c>
      <c r="BD61" s="3" t="s">
        <v>875</v>
      </c>
    </row>
    <row r="62" spans="1:56" ht="40.5" customHeight="1" x14ac:dyDescent="0.25">
      <c r="A62" s="7" t="s">
        <v>58</v>
      </c>
      <c r="B62" s="2" t="s">
        <v>876</v>
      </c>
      <c r="C62" s="2" t="s">
        <v>877</v>
      </c>
      <c r="D62" s="2" t="s">
        <v>878</v>
      </c>
      <c r="F62" s="3" t="s">
        <v>58</v>
      </c>
      <c r="G62" s="3" t="s">
        <v>59</v>
      </c>
      <c r="H62" s="3" t="s">
        <v>58</v>
      </c>
      <c r="I62" s="3" t="s">
        <v>58</v>
      </c>
      <c r="J62" s="3" t="s">
        <v>60</v>
      </c>
      <c r="K62" s="2" t="s">
        <v>879</v>
      </c>
      <c r="L62" s="2" t="s">
        <v>880</v>
      </c>
      <c r="M62" s="3" t="s">
        <v>405</v>
      </c>
      <c r="N62" s="2" t="s">
        <v>84</v>
      </c>
      <c r="O62" s="3" t="s">
        <v>65</v>
      </c>
      <c r="P62" s="3" t="s">
        <v>881</v>
      </c>
      <c r="R62" s="3" t="s">
        <v>67</v>
      </c>
      <c r="S62" s="4">
        <v>1</v>
      </c>
      <c r="T62" s="4">
        <v>1</v>
      </c>
      <c r="U62" s="5" t="s">
        <v>882</v>
      </c>
      <c r="V62" s="5" t="s">
        <v>882</v>
      </c>
      <c r="W62" s="5" t="s">
        <v>883</v>
      </c>
      <c r="X62" s="5" t="s">
        <v>883</v>
      </c>
      <c r="Y62" s="4">
        <v>529</v>
      </c>
      <c r="Z62" s="4">
        <v>462</v>
      </c>
      <c r="AA62" s="4">
        <v>468</v>
      </c>
      <c r="AB62" s="4">
        <v>6</v>
      </c>
      <c r="AC62" s="4">
        <v>6</v>
      </c>
      <c r="AD62" s="4">
        <v>25</v>
      </c>
      <c r="AE62" s="4">
        <v>25</v>
      </c>
      <c r="AF62" s="4">
        <v>9</v>
      </c>
      <c r="AG62" s="4">
        <v>9</v>
      </c>
      <c r="AH62" s="4">
        <v>6</v>
      </c>
      <c r="AI62" s="4">
        <v>6</v>
      </c>
      <c r="AJ62" s="4">
        <v>13</v>
      </c>
      <c r="AK62" s="4">
        <v>13</v>
      </c>
      <c r="AL62" s="4">
        <v>5</v>
      </c>
      <c r="AM62" s="4">
        <v>5</v>
      </c>
      <c r="AN62" s="4">
        <v>0</v>
      </c>
      <c r="AO62" s="4">
        <v>0</v>
      </c>
      <c r="AP62" s="3" t="s">
        <v>58</v>
      </c>
      <c r="AQ62" s="3" t="s">
        <v>58</v>
      </c>
      <c r="AS62" s="6" t="str">
        <f>HYPERLINK("https://creighton-primo.hosted.exlibrisgroup.com/primo-explore/search?tab=default_tab&amp;search_scope=EVERYTHING&amp;vid=01CRU&amp;lang=en_US&amp;offset=0&amp;query=any,contains,991004302229702656","Catalog Record")</f>
        <v>Catalog Record</v>
      </c>
      <c r="AT62" s="6" t="str">
        <f>HYPERLINK("http://www.worldcat.org/oclc/2968805","WorldCat Record")</f>
        <v>WorldCat Record</v>
      </c>
      <c r="AU62" s="3" t="s">
        <v>884</v>
      </c>
      <c r="AV62" s="3" t="s">
        <v>885</v>
      </c>
      <c r="AW62" s="3" t="s">
        <v>886</v>
      </c>
      <c r="AX62" s="3" t="s">
        <v>886</v>
      </c>
      <c r="AY62" s="3" t="s">
        <v>887</v>
      </c>
      <c r="AZ62" s="3" t="s">
        <v>74</v>
      </c>
      <c r="BB62" s="3" t="s">
        <v>888</v>
      </c>
      <c r="BC62" s="3" t="s">
        <v>889</v>
      </c>
      <c r="BD62" s="3" t="s">
        <v>890</v>
      </c>
    </row>
    <row r="63" spans="1:56" ht="40.5" customHeight="1" x14ac:dyDescent="0.25">
      <c r="A63" s="7" t="s">
        <v>58</v>
      </c>
      <c r="B63" s="2" t="s">
        <v>891</v>
      </c>
      <c r="C63" s="2" t="s">
        <v>892</v>
      </c>
      <c r="D63" s="2" t="s">
        <v>893</v>
      </c>
      <c r="F63" s="3" t="s">
        <v>58</v>
      </c>
      <c r="G63" s="3" t="s">
        <v>59</v>
      </c>
      <c r="H63" s="3" t="s">
        <v>80</v>
      </c>
      <c r="I63" s="3" t="s">
        <v>58</v>
      </c>
      <c r="J63" s="3" t="s">
        <v>60</v>
      </c>
      <c r="K63" s="2" t="s">
        <v>894</v>
      </c>
      <c r="L63" s="2" t="s">
        <v>895</v>
      </c>
      <c r="M63" s="3" t="s">
        <v>154</v>
      </c>
      <c r="O63" s="3" t="s">
        <v>65</v>
      </c>
      <c r="P63" s="3" t="s">
        <v>169</v>
      </c>
      <c r="R63" s="3" t="s">
        <v>67</v>
      </c>
      <c r="S63" s="4">
        <v>1</v>
      </c>
      <c r="T63" s="4">
        <v>5</v>
      </c>
      <c r="V63" s="5" t="s">
        <v>896</v>
      </c>
      <c r="W63" s="5" t="s">
        <v>883</v>
      </c>
      <c r="X63" s="5" t="s">
        <v>883</v>
      </c>
      <c r="Y63" s="4">
        <v>641</v>
      </c>
      <c r="Z63" s="4">
        <v>560</v>
      </c>
      <c r="AA63" s="4">
        <v>563</v>
      </c>
      <c r="AB63" s="4">
        <v>4</v>
      </c>
      <c r="AC63" s="4">
        <v>4</v>
      </c>
      <c r="AD63" s="4">
        <v>32</v>
      </c>
      <c r="AE63" s="4">
        <v>32</v>
      </c>
      <c r="AF63" s="4">
        <v>8</v>
      </c>
      <c r="AG63" s="4">
        <v>8</v>
      </c>
      <c r="AH63" s="4">
        <v>2</v>
      </c>
      <c r="AI63" s="4">
        <v>2</v>
      </c>
      <c r="AJ63" s="4">
        <v>10</v>
      </c>
      <c r="AK63" s="4">
        <v>10</v>
      </c>
      <c r="AL63" s="4">
        <v>1</v>
      </c>
      <c r="AM63" s="4">
        <v>1</v>
      </c>
      <c r="AN63" s="4">
        <v>17</v>
      </c>
      <c r="AO63" s="4">
        <v>17</v>
      </c>
      <c r="AP63" s="3" t="s">
        <v>58</v>
      </c>
      <c r="AQ63" s="3" t="s">
        <v>80</v>
      </c>
      <c r="AR63" s="6" t="str">
        <f>HYPERLINK("http://catalog.hathitrust.org/Record/001128092","HathiTrust Record")</f>
        <v>HathiTrust Record</v>
      </c>
      <c r="AS63" s="6" t="str">
        <f>HYPERLINK("https://creighton-primo.hosted.exlibrisgroup.com/primo-explore/search?tab=default_tab&amp;search_scope=EVERYTHING&amp;vid=01CRU&amp;lang=en_US&amp;offset=0&amp;query=any,contains,991001798039702656","Catalog Record")</f>
        <v>Catalog Record</v>
      </c>
      <c r="AT63" s="6" t="str">
        <f>HYPERLINK("http://www.worldcat.org/oclc/227512","WorldCat Record")</f>
        <v>WorldCat Record</v>
      </c>
      <c r="AU63" s="3" t="s">
        <v>897</v>
      </c>
      <c r="AV63" s="3" t="s">
        <v>898</v>
      </c>
      <c r="AW63" s="3" t="s">
        <v>899</v>
      </c>
      <c r="AX63" s="3" t="s">
        <v>899</v>
      </c>
      <c r="AY63" s="3" t="s">
        <v>900</v>
      </c>
      <c r="AZ63" s="3" t="s">
        <v>74</v>
      </c>
      <c r="BB63" s="3" t="s">
        <v>901</v>
      </c>
      <c r="BC63" s="3" t="s">
        <v>902</v>
      </c>
      <c r="BD63" s="3" t="s">
        <v>903</v>
      </c>
    </row>
    <row r="64" spans="1:56" ht="40.5" customHeight="1" x14ac:dyDescent="0.25">
      <c r="A64" s="7" t="s">
        <v>58</v>
      </c>
      <c r="B64" s="2" t="s">
        <v>904</v>
      </c>
      <c r="C64" s="2" t="s">
        <v>905</v>
      </c>
      <c r="D64" s="2" t="s">
        <v>906</v>
      </c>
      <c r="F64" s="3" t="s">
        <v>58</v>
      </c>
      <c r="G64" s="3" t="s">
        <v>59</v>
      </c>
      <c r="H64" s="3" t="s">
        <v>58</v>
      </c>
      <c r="I64" s="3" t="s">
        <v>58</v>
      </c>
      <c r="J64" s="3" t="s">
        <v>60</v>
      </c>
      <c r="K64" s="2" t="s">
        <v>907</v>
      </c>
      <c r="L64" s="2" t="s">
        <v>908</v>
      </c>
      <c r="M64" s="3" t="s">
        <v>212</v>
      </c>
      <c r="N64" s="2" t="s">
        <v>662</v>
      </c>
      <c r="O64" s="3" t="s">
        <v>65</v>
      </c>
      <c r="P64" s="3" t="s">
        <v>66</v>
      </c>
      <c r="Q64" s="2" t="s">
        <v>909</v>
      </c>
      <c r="R64" s="3" t="s">
        <v>67</v>
      </c>
      <c r="S64" s="4">
        <v>1</v>
      </c>
      <c r="T64" s="4">
        <v>1</v>
      </c>
      <c r="U64" s="5" t="s">
        <v>910</v>
      </c>
      <c r="V64" s="5" t="s">
        <v>910</v>
      </c>
      <c r="W64" s="5" t="s">
        <v>911</v>
      </c>
      <c r="X64" s="5" t="s">
        <v>911</v>
      </c>
      <c r="Y64" s="4">
        <v>464</v>
      </c>
      <c r="Z64" s="4">
        <v>443</v>
      </c>
      <c r="AA64" s="4">
        <v>617</v>
      </c>
      <c r="AB64" s="4">
        <v>3</v>
      </c>
      <c r="AC64" s="4">
        <v>5</v>
      </c>
      <c r="AD64" s="4">
        <v>15</v>
      </c>
      <c r="AE64" s="4">
        <v>25</v>
      </c>
      <c r="AF64" s="4">
        <v>6</v>
      </c>
      <c r="AG64" s="4">
        <v>10</v>
      </c>
      <c r="AH64" s="4">
        <v>2</v>
      </c>
      <c r="AI64" s="4">
        <v>3</v>
      </c>
      <c r="AJ64" s="4">
        <v>5</v>
      </c>
      <c r="AK64" s="4">
        <v>9</v>
      </c>
      <c r="AL64" s="4">
        <v>2</v>
      </c>
      <c r="AM64" s="4">
        <v>4</v>
      </c>
      <c r="AN64" s="4">
        <v>1</v>
      </c>
      <c r="AO64" s="4">
        <v>2</v>
      </c>
      <c r="AP64" s="3" t="s">
        <v>58</v>
      </c>
      <c r="AQ64" s="3" t="s">
        <v>80</v>
      </c>
      <c r="AR64" s="6" t="str">
        <f>HYPERLINK("http://catalog.hathitrust.org/Record/001128097","HathiTrust Record")</f>
        <v>HathiTrust Record</v>
      </c>
      <c r="AS64" s="6" t="str">
        <f>HYPERLINK("https://creighton-primo.hosted.exlibrisgroup.com/primo-explore/search?tab=default_tab&amp;search_scope=EVERYTHING&amp;vid=01CRU&amp;lang=en_US&amp;offset=0&amp;query=any,contains,991004109779702656","Catalog Record")</f>
        <v>Catalog Record</v>
      </c>
      <c r="AT64" s="6" t="str">
        <f>HYPERLINK("http://www.worldcat.org/oclc/154027","WorldCat Record")</f>
        <v>WorldCat Record</v>
      </c>
      <c r="AU64" s="3" t="s">
        <v>912</v>
      </c>
      <c r="AV64" s="3" t="s">
        <v>913</v>
      </c>
      <c r="AW64" s="3" t="s">
        <v>914</v>
      </c>
      <c r="AX64" s="3" t="s">
        <v>914</v>
      </c>
      <c r="AY64" s="3" t="s">
        <v>915</v>
      </c>
      <c r="AZ64" s="3" t="s">
        <v>74</v>
      </c>
      <c r="BC64" s="3" t="s">
        <v>916</v>
      </c>
      <c r="BD64" s="3" t="s">
        <v>917</v>
      </c>
    </row>
    <row r="65" spans="1:56" ht="40.5" customHeight="1" x14ac:dyDescent="0.25">
      <c r="A65" s="7" t="s">
        <v>58</v>
      </c>
      <c r="B65" s="2" t="s">
        <v>918</v>
      </c>
      <c r="C65" s="2" t="s">
        <v>919</v>
      </c>
      <c r="D65" s="2" t="s">
        <v>920</v>
      </c>
      <c r="F65" s="3" t="s">
        <v>58</v>
      </c>
      <c r="G65" s="3" t="s">
        <v>59</v>
      </c>
      <c r="H65" s="3" t="s">
        <v>58</v>
      </c>
      <c r="I65" s="3" t="s">
        <v>58</v>
      </c>
      <c r="J65" s="3" t="s">
        <v>60</v>
      </c>
      <c r="K65" s="2" t="s">
        <v>921</v>
      </c>
      <c r="L65" s="2" t="s">
        <v>922</v>
      </c>
      <c r="M65" s="3" t="s">
        <v>923</v>
      </c>
      <c r="O65" s="3" t="s">
        <v>65</v>
      </c>
      <c r="P65" s="3" t="s">
        <v>924</v>
      </c>
      <c r="R65" s="3" t="s">
        <v>67</v>
      </c>
      <c r="S65" s="4">
        <v>1</v>
      </c>
      <c r="T65" s="4">
        <v>1</v>
      </c>
      <c r="U65" s="5" t="s">
        <v>925</v>
      </c>
      <c r="V65" s="5" t="s">
        <v>925</v>
      </c>
      <c r="W65" s="5" t="s">
        <v>883</v>
      </c>
      <c r="X65" s="5" t="s">
        <v>883</v>
      </c>
      <c r="Y65" s="4">
        <v>620</v>
      </c>
      <c r="Z65" s="4">
        <v>535</v>
      </c>
      <c r="AA65" s="4">
        <v>538</v>
      </c>
      <c r="AB65" s="4">
        <v>4</v>
      </c>
      <c r="AC65" s="4">
        <v>4</v>
      </c>
      <c r="AD65" s="4">
        <v>28</v>
      </c>
      <c r="AE65" s="4">
        <v>28</v>
      </c>
      <c r="AF65" s="4">
        <v>10</v>
      </c>
      <c r="AG65" s="4">
        <v>10</v>
      </c>
      <c r="AH65" s="4">
        <v>7</v>
      </c>
      <c r="AI65" s="4">
        <v>7</v>
      </c>
      <c r="AJ65" s="4">
        <v>10</v>
      </c>
      <c r="AK65" s="4">
        <v>10</v>
      </c>
      <c r="AL65" s="4">
        <v>3</v>
      </c>
      <c r="AM65" s="4">
        <v>3</v>
      </c>
      <c r="AN65" s="4">
        <v>4</v>
      </c>
      <c r="AO65" s="4">
        <v>4</v>
      </c>
      <c r="AP65" s="3" t="s">
        <v>58</v>
      </c>
      <c r="AQ65" s="3" t="s">
        <v>80</v>
      </c>
      <c r="AR65" s="6" t="str">
        <f>HYPERLINK("http://catalog.hathitrust.org/Record/000698318","HathiTrust Record")</f>
        <v>HathiTrust Record</v>
      </c>
      <c r="AS65" s="6" t="str">
        <f>HYPERLINK("https://creighton-primo.hosted.exlibrisgroup.com/primo-explore/search?tab=default_tab&amp;search_scope=EVERYTHING&amp;vid=01CRU&amp;lang=en_US&amp;offset=0&amp;query=any,contains,991003918379702656","Catalog Record")</f>
        <v>Catalog Record</v>
      </c>
      <c r="AT65" s="6" t="str">
        <f>HYPERLINK("http://www.worldcat.org/oclc/1863639","WorldCat Record")</f>
        <v>WorldCat Record</v>
      </c>
      <c r="AU65" s="3" t="s">
        <v>926</v>
      </c>
      <c r="AV65" s="3" t="s">
        <v>927</v>
      </c>
      <c r="AW65" s="3" t="s">
        <v>928</v>
      </c>
      <c r="AX65" s="3" t="s">
        <v>928</v>
      </c>
      <c r="AY65" s="3" t="s">
        <v>929</v>
      </c>
      <c r="AZ65" s="3" t="s">
        <v>74</v>
      </c>
      <c r="BB65" s="3" t="s">
        <v>930</v>
      </c>
      <c r="BC65" s="3" t="s">
        <v>931</v>
      </c>
      <c r="BD65" s="3" t="s">
        <v>932</v>
      </c>
    </row>
    <row r="66" spans="1:56" ht="40.5" customHeight="1" x14ac:dyDescent="0.25">
      <c r="A66" s="7" t="s">
        <v>58</v>
      </c>
      <c r="B66" s="2" t="s">
        <v>933</v>
      </c>
      <c r="C66" s="2" t="s">
        <v>934</v>
      </c>
      <c r="D66" s="2" t="s">
        <v>935</v>
      </c>
      <c r="F66" s="3" t="s">
        <v>58</v>
      </c>
      <c r="G66" s="3" t="s">
        <v>59</v>
      </c>
      <c r="H66" s="3" t="s">
        <v>58</v>
      </c>
      <c r="I66" s="3" t="s">
        <v>58</v>
      </c>
      <c r="J66" s="3" t="s">
        <v>60</v>
      </c>
      <c r="K66" s="2" t="s">
        <v>936</v>
      </c>
      <c r="L66" s="2" t="s">
        <v>937</v>
      </c>
      <c r="M66" s="3" t="s">
        <v>532</v>
      </c>
      <c r="O66" s="3" t="s">
        <v>65</v>
      </c>
      <c r="P66" s="3" t="s">
        <v>112</v>
      </c>
      <c r="R66" s="3" t="s">
        <v>67</v>
      </c>
      <c r="S66" s="4">
        <v>1</v>
      </c>
      <c r="T66" s="4">
        <v>1</v>
      </c>
      <c r="U66" s="5" t="s">
        <v>938</v>
      </c>
      <c r="V66" s="5" t="s">
        <v>938</v>
      </c>
      <c r="W66" s="5" t="s">
        <v>938</v>
      </c>
      <c r="X66" s="5" t="s">
        <v>938</v>
      </c>
      <c r="Y66" s="4">
        <v>446</v>
      </c>
      <c r="Z66" s="4">
        <v>329</v>
      </c>
      <c r="AA66" s="4">
        <v>536</v>
      </c>
      <c r="AB66" s="4">
        <v>3</v>
      </c>
      <c r="AC66" s="4">
        <v>3</v>
      </c>
      <c r="AD66" s="4">
        <v>16</v>
      </c>
      <c r="AE66" s="4">
        <v>27</v>
      </c>
      <c r="AF66" s="4">
        <v>6</v>
      </c>
      <c r="AG66" s="4">
        <v>12</v>
      </c>
      <c r="AH66" s="4">
        <v>4</v>
      </c>
      <c r="AI66" s="4">
        <v>7</v>
      </c>
      <c r="AJ66" s="4">
        <v>9</v>
      </c>
      <c r="AK66" s="4">
        <v>14</v>
      </c>
      <c r="AL66" s="4">
        <v>2</v>
      </c>
      <c r="AM66" s="4">
        <v>2</v>
      </c>
      <c r="AN66" s="4">
        <v>0</v>
      </c>
      <c r="AO66" s="4">
        <v>0</v>
      </c>
      <c r="AP66" s="3" t="s">
        <v>58</v>
      </c>
      <c r="AQ66" s="3" t="s">
        <v>58</v>
      </c>
      <c r="AS66" s="6" t="str">
        <f>HYPERLINK("https://creighton-primo.hosted.exlibrisgroup.com/primo-explore/search?tab=default_tab&amp;search_scope=EVERYTHING&amp;vid=01CRU&amp;lang=en_US&amp;offset=0&amp;query=any,contains,991004249209702656","Catalog Record")</f>
        <v>Catalog Record</v>
      </c>
      <c r="AT66" s="6" t="str">
        <f>HYPERLINK("http://www.worldcat.org/oclc/51868034","WorldCat Record")</f>
        <v>WorldCat Record</v>
      </c>
      <c r="AU66" s="3" t="s">
        <v>939</v>
      </c>
      <c r="AV66" s="3" t="s">
        <v>940</v>
      </c>
      <c r="AW66" s="3" t="s">
        <v>941</v>
      </c>
      <c r="AX66" s="3" t="s">
        <v>941</v>
      </c>
      <c r="AY66" s="3" t="s">
        <v>942</v>
      </c>
      <c r="AZ66" s="3" t="s">
        <v>74</v>
      </c>
      <c r="BB66" s="3" t="s">
        <v>943</v>
      </c>
      <c r="BC66" s="3" t="s">
        <v>944</v>
      </c>
      <c r="BD66" s="3" t="s">
        <v>945</v>
      </c>
    </row>
    <row r="67" spans="1:56" ht="40.5" customHeight="1" x14ac:dyDescent="0.25">
      <c r="A67" s="7" t="s">
        <v>58</v>
      </c>
      <c r="B67" s="2" t="s">
        <v>946</v>
      </c>
      <c r="C67" s="2" t="s">
        <v>947</v>
      </c>
      <c r="D67" s="2" t="s">
        <v>948</v>
      </c>
      <c r="F67" s="3" t="s">
        <v>58</v>
      </c>
      <c r="G67" s="3" t="s">
        <v>59</v>
      </c>
      <c r="H67" s="3" t="s">
        <v>58</v>
      </c>
      <c r="I67" s="3" t="s">
        <v>58</v>
      </c>
      <c r="J67" s="3" t="s">
        <v>60</v>
      </c>
      <c r="K67" s="2" t="s">
        <v>949</v>
      </c>
      <c r="L67" s="2" t="s">
        <v>950</v>
      </c>
      <c r="M67" s="3" t="s">
        <v>168</v>
      </c>
      <c r="O67" s="3" t="s">
        <v>65</v>
      </c>
      <c r="P67" s="3" t="s">
        <v>155</v>
      </c>
      <c r="R67" s="3" t="s">
        <v>67</v>
      </c>
      <c r="S67" s="4">
        <v>1</v>
      </c>
      <c r="T67" s="4">
        <v>1</v>
      </c>
      <c r="U67" s="5" t="s">
        <v>951</v>
      </c>
      <c r="V67" s="5" t="s">
        <v>951</v>
      </c>
      <c r="W67" s="5" t="s">
        <v>952</v>
      </c>
      <c r="X67" s="5" t="s">
        <v>952</v>
      </c>
      <c r="Y67" s="4">
        <v>744</v>
      </c>
      <c r="Z67" s="4">
        <v>577</v>
      </c>
      <c r="AA67" s="4">
        <v>582</v>
      </c>
      <c r="AB67" s="4">
        <v>4</v>
      </c>
      <c r="AC67" s="4">
        <v>4</v>
      </c>
      <c r="AD67" s="4">
        <v>36</v>
      </c>
      <c r="AE67" s="4">
        <v>36</v>
      </c>
      <c r="AF67" s="4">
        <v>15</v>
      </c>
      <c r="AG67" s="4">
        <v>15</v>
      </c>
      <c r="AH67" s="4">
        <v>7</v>
      </c>
      <c r="AI67" s="4">
        <v>7</v>
      </c>
      <c r="AJ67" s="4">
        <v>18</v>
      </c>
      <c r="AK67" s="4">
        <v>18</v>
      </c>
      <c r="AL67" s="4">
        <v>3</v>
      </c>
      <c r="AM67" s="4">
        <v>3</v>
      </c>
      <c r="AN67" s="4">
        <v>2</v>
      </c>
      <c r="AO67" s="4">
        <v>2</v>
      </c>
      <c r="AP67" s="3" t="s">
        <v>58</v>
      </c>
      <c r="AQ67" s="3" t="s">
        <v>58</v>
      </c>
      <c r="AS67" s="6" t="str">
        <f>HYPERLINK("https://creighton-primo.hosted.exlibrisgroup.com/primo-explore/search?tab=default_tab&amp;search_scope=EVERYTHING&amp;vid=01CRU&amp;lang=en_US&amp;offset=0&amp;query=any,contains,991000837219702656","Catalog Record")</f>
        <v>Catalog Record</v>
      </c>
      <c r="AT67" s="6" t="str">
        <f>HYPERLINK("http://www.worldcat.org/oclc/13498488","WorldCat Record")</f>
        <v>WorldCat Record</v>
      </c>
      <c r="AU67" s="3" t="s">
        <v>953</v>
      </c>
      <c r="AV67" s="3" t="s">
        <v>954</v>
      </c>
      <c r="AW67" s="3" t="s">
        <v>955</v>
      </c>
      <c r="AX67" s="3" t="s">
        <v>955</v>
      </c>
      <c r="AY67" s="3" t="s">
        <v>956</v>
      </c>
      <c r="AZ67" s="3" t="s">
        <v>74</v>
      </c>
      <c r="BB67" s="3" t="s">
        <v>957</v>
      </c>
      <c r="BC67" s="3" t="s">
        <v>958</v>
      </c>
      <c r="BD67" s="3" t="s">
        <v>959</v>
      </c>
    </row>
    <row r="68" spans="1:56" ht="40.5" customHeight="1" x14ac:dyDescent="0.25">
      <c r="A68" s="7" t="s">
        <v>58</v>
      </c>
      <c r="B68" s="2" t="s">
        <v>960</v>
      </c>
      <c r="C68" s="2" t="s">
        <v>961</v>
      </c>
      <c r="D68" s="2" t="s">
        <v>962</v>
      </c>
      <c r="F68" s="3" t="s">
        <v>58</v>
      </c>
      <c r="G68" s="3" t="s">
        <v>59</v>
      </c>
      <c r="H68" s="3" t="s">
        <v>80</v>
      </c>
      <c r="I68" s="3" t="s">
        <v>58</v>
      </c>
      <c r="J68" s="3" t="s">
        <v>60</v>
      </c>
      <c r="K68" s="2" t="s">
        <v>963</v>
      </c>
      <c r="L68" s="2" t="s">
        <v>964</v>
      </c>
      <c r="M68" s="3" t="s">
        <v>168</v>
      </c>
      <c r="N68" s="2" t="s">
        <v>84</v>
      </c>
      <c r="O68" s="3" t="s">
        <v>65</v>
      </c>
      <c r="P68" s="3" t="s">
        <v>66</v>
      </c>
      <c r="R68" s="3" t="s">
        <v>67</v>
      </c>
      <c r="S68" s="4">
        <v>1</v>
      </c>
      <c r="T68" s="4">
        <v>1</v>
      </c>
      <c r="U68" s="5" t="s">
        <v>965</v>
      </c>
      <c r="V68" s="5" t="s">
        <v>965</v>
      </c>
      <c r="W68" s="5" t="s">
        <v>966</v>
      </c>
      <c r="X68" s="5" t="s">
        <v>967</v>
      </c>
      <c r="Y68" s="4">
        <v>604</v>
      </c>
      <c r="Z68" s="4">
        <v>530</v>
      </c>
      <c r="AA68" s="4">
        <v>580</v>
      </c>
      <c r="AB68" s="4">
        <v>5</v>
      </c>
      <c r="AC68" s="4">
        <v>5</v>
      </c>
      <c r="AD68" s="4">
        <v>24</v>
      </c>
      <c r="AE68" s="4">
        <v>24</v>
      </c>
      <c r="AF68" s="4">
        <v>7</v>
      </c>
      <c r="AG68" s="4">
        <v>7</v>
      </c>
      <c r="AH68" s="4">
        <v>6</v>
      </c>
      <c r="AI68" s="4">
        <v>6</v>
      </c>
      <c r="AJ68" s="4">
        <v>14</v>
      </c>
      <c r="AK68" s="4">
        <v>14</v>
      </c>
      <c r="AL68" s="4">
        <v>3</v>
      </c>
      <c r="AM68" s="4">
        <v>3</v>
      </c>
      <c r="AN68" s="4">
        <v>1</v>
      </c>
      <c r="AO68" s="4">
        <v>1</v>
      </c>
      <c r="AP68" s="3" t="s">
        <v>58</v>
      </c>
      <c r="AQ68" s="3" t="s">
        <v>80</v>
      </c>
      <c r="AR68" s="6" t="str">
        <f>HYPERLINK("http://catalog.hathitrust.org/Record/000885190","HathiTrust Record")</f>
        <v>HathiTrust Record</v>
      </c>
      <c r="AS68" s="6" t="str">
        <f>HYPERLINK("https://creighton-primo.hosted.exlibrisgroup.com/primo-explore/search?tab=default_tab&amp;search_scope=EVERYTHING&amp;vid=01CRU&amp;lang=en_US&amp;offset=0&amp;query=any,contains,991001636469702656","Catalog Record")</f>
        <v>Catalog Record</v>
      </c>
      <c r="AT68" s="6" t="str">
        <f>HYPERLINK("http://www.worldcat.org/oclc/16087988","WorldCat Record")</f>
        <v>WorldCat Record</v>
      </c>
      <c r="AU68" s="3" t="s">
        <v>968</v>
      </c>
      <c r="AV68" s="3" t="s">
        <v>969</v>
      </c>
      <c r="AW68" s="3" t="s">
        <v>970</v>
      </c>
      <c r="AX68" s="3" t="s">
        <v>970</v>
      </c>
      <c r="AY68" s="3" t="s">
        <v>971</v>
      </c>
      <c r="AZ68" s="3" t="s">
        <v>74</v>
      </c>
      <c r="BB68" s="3" t="s">
        <v>972</v>
      </c>
      <c r="BC68" s="3" t="s">
        <v>973</v>
      </c>
      <c r="BD68" s="3" t="s">
        <v>974</v>
      </c>
    </row>
    <row r="69" spans="1:56" ht="40.5" customHeight="1" x14ac:dyDescent="0.25">
      <c r="A69" s="7" t="s">
        <v>58</v>
      </c>
      <c r="B69" s="2" t="s">
        <v>975</v>
      </c>
      <c r="C69" s="2" t="s">
        <v>976</v>
      </c>
      <c r="D69" s="2" t="s">
        <v>977</v>
      </c>
      <c r="F69" s="3" t="s">
        <v>58</v>
      </c>
      <c r="G69" s="3" t="s">
        <v>59</v>
      </c>
      <c r="H69" s="3" t="s">
        <v>58</v>
      </c>
      <c r="I69" s="3" t="s">
        <v>58</v>
      </c>
      <c r="J69" s="3" t="s">
        <v>60</v>
      </c>
      <c r="K69" s="2" t="s">
        <v>978</v>
      </c>
      <c r="L69" s="2" t="s">
        <v>979</v>
      </c>
      <c r="M69" s="3" t="s">
        <v>274</v>
      </c>
      <c r="O69" s="3" t="s">
        <v>65</v>
      </c>
      <c r="P69" s="3" t="s">
        <v>214</v>
      </c>
      <c r="R69" s="3" t="s">
        <v>67</v>
      </c>
      <c r="S69" s="4">
        <v>1</v>
      </c>
      <c r="T69" s="4">
        <v>1</v>
      </c>
      <c r="U69" s="5" t="s">
        <v>980</v>
      </c>
      <c r="V69" s="5" t="s">
        <v>980</v>
      </c>
      <c r="W69" s="5" t="s">
        <v>980</v>
      </c>
      <c r="X69" s="5" t="s">
        <v>980</v>
      </c>
      <c r="Y69" s="4">
        <v>195</v>
      </c>
      <c r="Z69" s="4">
        <v>170</v>
      </c>
      <c r="AA69" s="4">
        <v>1165</v>
      </c>
      <c r="AB69" s="4">
        <v>4</v>
      </c>
      <c r="AC69" s="4">
        <v>6</v>
      </c>
      <c r="AD69" s="4">
        <v>13</v>
      </c>
      <c r="AE69" s="4">
        <v>24</v>
      </c>
      <c r="AF69" s="4">
        <v>2</v>
      </c>
      <c r="AG69" s="4">
        <v>9</v>
      </c>
      <c r="AH69" s="4">
        <v>3</v>
      </c>
      <c r="AI69" s="4">
        <v>6</v>
      </c>
      <c r="AJ69" s="4">
        <v>8</v>
      </c>
      <c r="AK69" s="4">
        <v>11</v>
      </c>
      <c r="AL69" s="4">
        <v>3</v>
      </c>
      <c r="AM69" s="4">
        <v>4</v>
      </c>
      <c r="AN69" s="4">
        <v>0</v>
      </c>
      <c r="AO69" s="4">
        <v>0</v>
      </c>
      <c r="AP69" s="3" t="s">
        <v>58</v>
      </c>
      <c r="AQ69" s="3" t="s">
        <v>58</v>
      </c>
      <c r="AS69" s="6" t="str">
        <f>HYPERLINK("https://creighton-primo.hosted.exlibrisgroup.com/primo-explore/search?tab=default_tab&amp;search_scope=EVERYTHING&amp;vid=01CRU&amp;lang=en_US&amp;offset=0&amp;query=any,contains,991003251679702656","Catalog Record")</f>
        <v>Catalog Record</v>
      </c>
      <c r="AT69" s="6" t="str">
        <f>HYPERLINK("http://www.worldcat.org/oclc/44770191","WorldCat Record")</f>
        <v>WorldCat Record</v>
      </c>
      <c r="AU69" s="3" t="s">
        <v>981</v>
      </c>
      <c r="AV69" s="3" t="s">
        <v>982</v>
      </c>
      <c r="AW69" s="3" t="s">
        <v>983</v>
      </c>
      <c r="AX69" s="3" t="s">
        <v>983</v>
      </c>
      <c r="AY69" s="3" t="s">
        <v>984</v>
      </c>
      <c r="AZ69" s="3" t="s">
        <v>74</v>
      </c>
      <c r="BB69" s="3" t="s">
        <v>985</v>
      </c>
      <c r="BC69" s="3" t="s">
        <v>986</v>
      </c>
      <c r="BD69" s="3" t="s">
        <v>987</v>
      </c>
    </row>
    <row r="70" spans="1:56" ht="40.5" customHeight="1" x14ac:dyDescent="0.25">
      <c r="A70" s="7" t="s">
        <v>58</v>
      </c>
      <c r="B70" s="2" t="s">
        <v>988</v>
      </c>
      <c r="C70" s="2" t="s">
        <v>989</v>
      </c>
      <c r="D70" s="2" t="s">
        <v>990</v>
      </c>
      <c r="E70" s="3" t="s">
        <v>418</v>
      </c>
      <c r="F70" s="3" t="s">
        <v>80</v>
      </c>
      <c r="G70" s="3" t="s">
        <v>59</v>
      </c>
      <c r="H70" s="3" t="s">
        <v>80</v>
      </c>
      <c r="I70" s="3" t="s">
        <v>58</v>
      </c>
      <c r="J70" s="3" t="s">
        <v>60</v>
      </c>
      <c r="L70" s="2" t="s">
        <v>991</v>
      </c>
      <c r="M70" s="3" t="s">
        <v>923</v>
      </c>
      <c r="O70" s="3" t="s">
        <v>65</v>
      </c>
      <c r="P70" s="3" t="s">
        <v>169</v>
      </c>
      <c r="R70" s="3" t="s">
        <v>67</v>
      </c>
      <c r="S70" s="4">
        <v>1</v>
      </c>
      <c r="T70" s="4">
        <v>4</v>
      </c>
      <c r="U70" s="5" t="s">
        <v>992</v>
      </c>
      <c r="V70" s="5" t="s">
        <v>993</v>
      </c>
      <c r="W70" s="5" t="s">
        <v>911</v>
      </c>
      <c r="X70" s="5" t="s">
        <v>911</v>
      </c>
      <c r="Y70" s="4">
        <v>520</v>
      </c>
      <c r="Z70" s="4">
        <v>379</v>
      </c>
      <c r="AA70" s="4">
        <v>381</v>
      </c>
      <c r="AB70" s="4">
        <v>5</v>
      </c>
      <c r="AC70" s="4">
        <v>5</v>
      </c>
      <c r="AD70" s="4">
        <v>21</v>
      </c>
      <c r="AE70" s="4">
        <v>21</v>
      </c>
      <c r="AF70" s="4">
        <v>5</v>
      </c>
      <c r="AG70" s="4">
        <v>5</v>
      </c>
      <c r="AH70" s="4">
        <v>4</v>
      </c>
      <c r="AI70" s="4">
        <v>4</v>
      </c>
      <c r="AJ70" s="4">
        <v>11</v>
      </c>
      <c r="AK70" s="4">
        <v>11</v>
      </c>
      <c r="AL70" s="4">
        <v>3</v>
      </c>
      <c r="AM70" s="4">
        <v>3</v>
      </c>
      <c r="AN70" s="4">
        <v>4</v>
      </c>
      <c r="AO70" s="4">
        <v>4</v>
      </c>
      <c r="AP70" s="3" t="s">
        <v>58</v>
      </c>
      <c r="AQ70" s="3" t="s">
        <v>80</v>
      </c>
      <c r="AR70" s="6" t="str">
        <f>HYPERLINK("http://catalog.hathitrust.org/Record/000212253","HathiTrust Record")</f>
        <v>HathiTrust Record</v>
      </c>
      <c r="AS70" s="6" t="str">
        <f>HYPERLINK("https://creighton-primo.hosted.exlibrisgroup.com/primo-explore/search?tab=default_tab&amp;search_scope=EVERYTHING&amp;vid=01CRU&amp;lang=en_US&amp;offset=0&amp;query=any,contains,991004746329702656","Catalog Record")</f>
        <v>Catalog Record</v>
      </c>
      <c r="AT70" s="6" t="str">
        <f>HYPERLINK("http://www.worldcat.org/oclc/11186631","WorldCat Record")</f>
        <v>WorldCat Record</v>
      </c>
      <c r="AU70" s="3" t="s">
        <v>994</v>
      </c>
      <c r="AV70" s="3" t="s">
        <v>995</v>
      </c>
      <c r="AW70" s="3" t="s">
        <v>996</v>
      </c>
      <c r="AX70" s="3" t="s">
        <v>996</v>
      </c>
      <c r="AY70" s="3" t="s">
        <v>997</v>
      </c>
      <c r="AZ70" s="3" t="s">
        <v>74</v>
      </c>
      <c r="BC70" s="3" t="s">
        <v>998</v>
      </c>
      <c r="BD70" s="3" t="s">
        <v>999</v>
      </c>
    </row>
    <row r="71" spans="1:56" ht="40.5" customHeight="1" x14ac:dyDescent="0.25">
      <c r="A71" s="7" t="s">
        <v>58</v>
      </c>
      <c r="B71" s="2" t="s">
        <v>1000</v>
      </c>
      <c r="C71" s="2" t="s">
        <v>1001</v>
      </c>
      <c r="D71" s="2" t="s">
        <v>1002</v>
      </c>
      <c r="E71" s="3" t="s">
        <v>700</v>
      </c>
      <c r="F71" s="3" t="s">
        <v>80</v>
      </c>
      <c r="G71" s="3" t="s">
        <v>59</v>
      </c>
      <c r="H71" s="3" t="s">
        <v>58</v>
      </c>
      <c r="I71" s="3" t="s">
        <v>58</v>
      </c>
      <c r="J71" s="3" t="s">
        <v>60</v>
      </c>
      <c r="L71" s="2" t="s">
        <v>1003</v>
      </c>
      <c r="M71" s="3" t="s">
        <v>362</v>
      </c>
      <c r="O71" s="3" t="s">
        <v>65</v>
      </c>
      <c r="P71" s="3" t="s">
        <v>275</v>
      </c>
      <c r="Q71" s="2" t="s">
        <v>1004</v>
      </c>
      <c r="R71" s="3" t="s">
        <v>67</v>
      </c>
      <c r="S71" s="4">
        <v>0</v>
      </c>
      <c r="T71" s="4">
        <v>49</v>
      </c>
      <c r="V71" s="5" t="s">
        <v>1005</v>
      </c>
      <c r="W71" s="5" t="s">
        <v>1006</v>
      </c>
      <c r="X71" s="5" t="s">
        <v>1006</v>
      </c>
      <c r="Y71" s="4">
        <v>80</v>
      </c>
      <c r="Z71" s="4">
        <v>38</v>
      </c>
      <c r="AA71" s="4">
        <v>38</v>
      </c>
      <c r="AB71" s="4">
        <v>1</v>
      </c>
      <c r="AC71" s="4">
        <v>1</v>
      </c>
      <c r="AD71" s="4">
        <v>1</v>
      </c>
      <c r="AE71" s="4">
        <v>1</v>
      </c>
      <c r="AF71" s="4">
        <v>0</v>
      </c>
      <c r="AG71" s="4">
        <v>0</v>
      </c>
      <c r="AH71" s="4">
        <v>0</v>
      </c>
      <c r="AI71" s="4">
        <v>0</v>
      </c>
      <c r="AJ71" s="4">
        <v>1</v>
      </c>
      <c r="AK71" s="4">
        <v>1</v>
      </c>
      <c r="AL71" s="4">
        <v>0</v>
      </c>
      <c r="AM71" s="4">
        <v>0</v>
      </c>
      <c r="AN71" s="4">
        <v>0</v>
      </c>
      <c r="AO71" s="4">
        <v>0</v>
      </c>
      <c r="AP71" s="3" t="s">
        <v>58</v>
      </c>
      <c r="AQ71" s="3" t="s">
        <v>58</v>
      </c>
      <c r="AS71" s="6" t="str">
        <f>HYPERLINK("https://creighton-primo.hosted.exlibrisgroup.com/primo-explore/search?tab=default_tab&amp;search_scope=EVERYTHING&amp;vid=01CRU&amp;lang=en_US&amp;offset=0&amp;query=any,contains,991005419159702656","Catalog Record")</f>
        <v>Catalog Record</v>
      </c>
      <c r="AT71" s="6" t="str">
        <f>HYPERLINK("http://www.worldcat.org/oclc/30625407","WorldCat Record")</f>
        <v>WorldCat Record</v>
      </c>
      <c r="AU71" s="3" t="s">
        <v>1007</v>
      </c>
      <c r="AV71" s="3" t="s">
        <v>1008</v>
      </c>
      <c r="AW71" s="3" t="s">
        <v>1009</v>
      </c>
      <c r="AX71" s="3" t="s">
        <v>1009</v>
      </c>
      <c r="AY71" s="3" t="s">
        <v>1010</v>
      </c>
      <c r="AZ71" s="3" t="s">
        <v>74</v>
      </c>
      <c r="BB71" s="3" t="s">
        <v>1011</v>
      </c>
      <c r="BC71" s="3" t="s">
        <v>1012</v>
      </c>
      <c r="BD71" s="3" t="s">
        <v>1013</v>
      </c>
    </row>
    <row r="72" spans="1:56" ht="40.5" customHeight="1" x14ac:dyDescent="0.25">
      <c r="A72" s="7" t="s">
        <v>58</v>
      </c>
      <c r="B72" s="2" t="s">
        <v>1000</v>
      </c>
      <c r="C72" s="2" t="s">
        <v>1001</v>
      </c>
      <c r="D72" s="2" t="s">
        <v>1002</v>
      </c>
      <c r="E72" s="3" t="s">
        <v>1014</v>
      </c>
      <c r="F72" s="3" t="s">
        <v>80</v>
      </c>
      <c r="G72" s="3" t="s">
        <v>59</v>
      </c>
      <c r="H72" s="3" t="s">
        <v>58</v>
      </c>
      <c r="I72" s="3" t="s">
        <v>58</v>
      </c>
      <c r="J72" s="3" t="s">
        <v>60</v>
      </c>
      <c r="L72" s="2" t="s">
        <v>1003</v>
      </c>
      <c r="M72" s="3" t="s">
        <v>362</v>
      </c>
      <c r="O72" s="3" t="s">
        <v>65</v>
      </c>
      <c r="P72" s="3" t="s">
        <v>275</v>
      </c>
      <c r="Q72" s="2" t="s">
        <v>1004</v>
      </c>
      <c r="R72" s="3" t="s">
        <v>67</v>
      </c>
      <c r="S72" s="4">
        <v>0</v>
      </c>
      <c r="T72" s="4">
        <v>49</v>
      </c>
      <c r="V72" s="5" t="s">
        <v>1005</v>
      </c>
      <c r="W72" s="5" t="s">
        <v>1006</v>
      </c>
      <c r="X72" s="5" t="s">
        <v>1006</v>
      </c>
      <c r="Y72" s="4">
        <v>80</v>
      </c>
      <c r="Z72" s="4">
        <v>38</v>
      </c>
      <c r="AA72" s="4">
        <v>38</v>
      </c>
      <c r="AB72" s="4">
        <v>1</v>
      </c>
      <c r="AC72" s="4">
        <v>1</v>
      </c>
      <c r="AD72" s="4">
        <v>1</v>
      </c>
      <c r="AE72" s="4">
        <v>1</v>
      </c>
      <c r="AF72" s="4">
        <v>0</v>
      </c>
      <c r="AG72" s="4">
        <v>0</v>
      </c>
      <c r="AH72" s="4">
        <v>0</v>
      </c>
      <c r="AI72" s="4">
        <v>0</v>
      </c>
      <c r="AJ72" s="4">
        <v>1</v>
      </c>
      <c r="AK72" s="4">
        <v>1</v>
      </c>
      <c r="AL72" s="4">
        <v>0</v>
      </c>
      <c r="AM72" s="4">
        <v>0</v>
      </c>
      <c r="AN72" s="4">
        <v>0</v>
      </c>
      <c r="AO72" s="4">
        <v>0</v>
      </c>
      <c r="AP72" s="3" t="s">
        <v>58</v>
      </c>
      <c r="AQ72" s="3" t="s">
        <v>58</v>
      </c>
      <c r="AS72" s="6" t="str">
        <f>HYPERLINK("https://creighton-primo.hosted.exlibrisgroup.com/primo-explore/search?tab=default_tab&amp;search_scope=EVERYTHING&amp;vid=01CRU&amp;lang=en_US&amp;offset=0&amp;query=any,contains,991005419159702656","Catalog Record")</f>
        <v>Catalog Record</v>
      </c>
      <c r="AT72" s="6" t="str">
        <f>HYPERLINK("http://www.worldcat.org/oclc/30625407","WorldCat Record")</f>
        <v>WorldCat Record</v>
      </c>
      <c r="AU72" s="3" t="s">
        <v>1007</v>
      </c>
      <c r="AV72" s="3" t="s">
        <v>1008</v>
      </c>
      <c r="AW72" s="3" t="s">
        <v>1009</v>
      </c>
      <c r="AX72" s="3" t="s">
        <v>1009</v>
      </c>
      <c r="AY72" s="3" t="s">
        <v>1010</v>
      </c>
      <c r="AZ72" s="3" t="s">
        <v>74</v>
      </c>
      <c r="BB72" s="3" t="s">
        <v>1011</v>
      </c>
      <c r="BC72" s="3" t="s">
        <v>1015</v>
      </c>
      <c r="BD72" s="3" t="s">
        <v>1016</v>
      </c>
    </row>
    <row r="73" spans="1:56" ht="40.5" customHeight="1" x14ac:dyDescent="0.25">
      <c r="A73" s="7" t="s">
        <v>58</v>
      </c>
      <c r="B73" s="2" t="s">
        <v>1017</v>
      </c>
      <c r="C73" s="2" t="s">
        <v>1018</v>
      </c>
      <c r="D73" s="2" t="s">
        <v>1019</v>
      </c>
      <c r="F73" s="3" t="s">
        <v>58</v>
      </c>
      <c r="G73" s="3" t="s">
        <v>59</v>
      </c>
      <c r="H73" s="3" t="s">
        <v>58</v>
      </c>
      <c r="I73" s="3" t="s">
        <v>58</v>
      </c>
      <c r="J73" s="3" t="s">
        <v>60</v>
      </c>
      <c r="L73" s="2" t="s">
        <v>1020</v>
      </c>
      <c r="M73" s="3" t="s">
        <v>1021</v>
      </c>
      <c r="O73" s="3" t="s">
        <v>65</v>
      </c>
      <c r="P73" s="3" t="s">
        <v>155</v>
      </c>
      <c r="R73" s="3" t="s">
        <v>67</v>
      </c>
      <c r="S73" s="4">
        <v>1</v>
      </c>
      <c r="T73" s="4">
        <v>1</v>
      </c>
      <c r="U73" s="5" t="s">
        <v>910</v>
      </c>
      <c r="V73" s="5" t="s">
        <v>910</v>
      </c>
      <c r="W73" s="5" t="s">
        <v>883</v>
      </c>
      <c r="X73" s="5" t="s">
        <v>883</v>
      </c>
      <c r="Y73" s="4">
        <v>394</v>
      </c>
      <c r="Z73" s="4">
        <v>310</v>
      </c>
      <c r="AA73" s="4">
        <v>316</v>
      </c>
      <c r="AB73" s="4">
        <v>2</v>
      </c>
      <c r="AC73" s="4">
        <v>2</v>
      </c>
      <c r="AD73" s="4">
        <v>16</v>
      </c>
      <c r="AE73" s="4">
        <v>16</v>
      </c>
      <c r="AF73" s="4">
        <v>6</v>
      </c>
      <c r="AG73" s="4">
        <v>6</v>
      </c>
      <c r="AH73" s="4">
        <v>4</v>
      </c>
      <c r="AI73" s="4">
        <v>4</v>
      </c>
      <c r="AJ73" s="4">
        <v>12</v>
      </c>
      <c r="AK73" s="4">
        <v>12</v>
      </c>
      <c r="AL73" s="4">
        <v>1</v>
      </c>
      <c r="AM73" s="4">
        <v>1</v>
      </c>
      <c r="AN73" s="4">
        <v>0</v>
      </c>
      <c r="AO73" s="4">
        <v>0</v>
      </c>
      <c r="AP73" s="3" t="s">
        <v>58</v>
      </c>
      <c r="AQ73" s="3" t="s">
        <v>80</v>
      </c>
      <c r="AR73" s="6" t="str">
        <f>HYPERLINK("http://catalog.hathitrust.org/Record/001128244","HathiTrust Record")</f>
        <v>HathiTrust Record</v>
      </c>
      <c r="AS73" s="6" t="str">
        <f>HYPERLINK("https://creighton-primo.hosted.exlibrisgroup.com/primo-explore/search?tab=default_tab&amp;search_scope=EVERYTHING&amp;vid=01CRU&amp;lang=en_US&amp;offset=0&amp;query=any,contains,991003061009702656","Catalog Record")</f>
        <v>Catalog Record</v>
      </c>
      <c r="AT73" s="6" t="str">
        <f>HYPERLINK("http://www.worldcat.org/oclc/618336","WorldCat Record")</f>
        <v>WorldCat Record</v>
      </c>
      <c r="AU73" s="3" t="s">
        <v>1022</v>
      </c>
      <c r="AV73" s="3" t="s">
        <v>1023</v>
      </c>
      <c r="AW73" s="3" t="s">
        <v>1024</v>
      </c>
      <c r="AX73" s="3" t="s">
        <v>1024</v>
      </c>
      <c r="AY73" s="3" t="s">
        <v>1025</v>
      </c>
      <c r="AZ73" s="3" t="s">
        <v>74</v>
      </c>
      <c r="BB73" s="3" t="s">
        <v>1026</v>
      </c>
      <c r="BC73" s="3" t="s">
        <v>1027</v>
      </c>
      <c r="BD73" s="3" t="s">
        <v>1028</v>
      </c>
    </row>
    <row r="74" spans="1:56" ht="40.5" customHeight="1" x14ac:dyDescent="0.25">
      <c r="A74" s="7" t="s">
        <v>58</v>
      </c>
      <c r="B74" s="2" t="s">
        <v>1029</v>
      </c>
      <c r="C74" s="2" t="s">
        <v>1030</v>
      </c>
      <c r="D74" s="2" t="s">
        <v>1031</v>
      </c>
      <c r="F74" s="3" t="s">
        <v>58</v>
      </c>
      <c r="G74" s="3" t="s">
        <v>59</v>
      </c>
      <c r="H74" s="3" t="s">
        <v>58</v>
      </c>
      <c r="I74" s="3" t="s">
        <v>58</v>
      </c>
      <c r="J74" s="3" t="s">
        <v>60</v>
      </c>
      <c r="K74" s="2" t="s">
        <v>1032</v>
      </c>
      <c r="L74" s="2" t="s">
        <v>1033</v>
      </c>
      <c r="M74" s="3" t="s">
        <v>1034</v>
      </c>
      <c r="O74" s="3" t="s">
        <v>65</v>
      </c>
      <c r="P74" s="3" t="s">
        <v>66</v>
      </c>
      <c r="R74" s="3" t="s">
        <v>67</v>
      </c>
      <c r="S74" s="4">
        <v>1</v>
      </c>
      <c r="T74" s="4">
        <v>1</v>
      </c>
      <c r="U74" s="5" t="s">
        <v>1035</v>
      </c>
      <c r="V74" s="5" t="s">
        <v>1035</v>
      </c>
      <c r="W74" s="5" t="s">
        <v>1036</v>
      </c>
      <c r="X74" s="5" t="s">
        <v>1036</v>
      </c>
      <c r="Y74" s="4">
        <v>451</v>
      </c>
      <c r="Z74" s="4">
        <v>336</v>
      </c>
      <c r="AA74" s="4">
        <v>471</v>
      </c>
      <c r="AB74" s="4">
        <v>2</v>
      </c>
      <c r="AC74" s="4">
        <v>2</v>
      </c>
      <c r="AD74" s="4">
        <v>21</v>
      </c>
      <c r="AE74" s="4">
        <v>29</v>
      </c>
      <c r="AF74" s="4">
        <v>6</v>
      </c>
      <c r="AG74" s="4">
        <v>10</v>
      </c>
      <c r="AH74" s="4">
        <v>5</v>
      </c>
      <c r="AI74" s="4">
        <v>7</v>
      </c>
      <c r="AJ74" s="4">
        <v>15</v>
      </c>
      <c r="AK74" s="4">
        <v>18</v>
      </c>
      <c r="AL74" s="4">
        <v>1</v>
      </c>
      <c r="AM74" s="4">
        <v>1</v>
      </c>
      <c r="AN74" s="4">
        <v>1</v>
      </c>
      <c r="AO74" s="4">
        <v>3</v>
      </c>
      <c r="AP74" s="3" t="s">
        <v>58</v>
      </c>
      <c r="AQ74" s="3" t="s">
        <v>58</v>
      </c>
      <c r="AS74" s="6" t="str">
        <f>HYPERLINK("https://creighton-primo.hosted.exlibrisgroup.com/primo-explore/search?tab=default_tab&amp;search_scope=EVERYTHING&amp;vid=01CRU&amp;lang=en_US&amp;offset=0&amp;query=any,contains,991003031679702656","Catalog Record")</f>
        <v>Catalog Record</v>
      </c>
      <c r="AT74" s="6" t="str">
        <f>HYPERLINK("http://www.worldcat.org/oclc/594733","WorldCat Record")</f>
        <v>WorldCat Record</v>
      </c>
      <c r="AU74" s="3" t="s">
        <v>1037</v>
      </c>
      <c r="AV74" s="3" t="s">
        <v>1038</v>
      </c>
      <c r="AW74" s="3" t="s">
        <v>1039</v>
      </c>
      <c r="AX74" s="3" t="s">
        <v>1039</v>
      </c>
      <c r="AY74" s="3" t="s">
        <v>1040</v>
      </c>
      <c r="AZ74" s="3" t="s">
        <v>74</v>
      </c>
      <c r="BC74" s="3" t="s">
        <v>1041</v>
      </c>
      <c r="BD74" s="3" t="s">
        <v>1042</v>
      </c>
    </row>
    <row r="75" spans="1:56" ht="40.5" customHeight="1" x14ac:dyDescent="0.25">
      <c r="A75" s="7" t="s">
        <v>58</v>
      </c>
      <c r="B75" s="2" t="s">
        <v>1043</v>
      </c>
      <c r="C75" s="2" t="s">
        <v>1044</v>
      </c>
      <c r="D75" s="2" t="s">
        <v>1045</v>
      </c>
      <c r="E75" s="3" t="s">
        <v>429</v>
      </c>
      <c r="F75" s="3" t="s">
        <v>80</v>
      </c>
      <c r="G75" s="3" t="s">
        <v>59</v>
      </c>
      <c r="H75" s="3" t="s">
        <v>80</v>
      </c>
      <c r="I75" s="3" t="s">
        <v>58</v>
      </c>
      <c r="J75" s="3" t="s">
        <v>60</v>
      </c>
      <c r="L75" s="2" t="s">
        <v>1046</v>
      </c>
      <c r="M75" s="3" t="s">
        <v>378</v>
      </c>
      <c r="O75" s="3" t="s">
        <v>65</v>
      </c>
      <c r="P75" s="3" t="s">
        <v>169</v>
      </c>
      <c r="R75" s="3" t="s">
        <v>67</v>
      </c>
      <c r="S75" s="4">
        <v>1</v>
      </c>
      <c r="T75" s="4">
        <v>6</v>
      </c>
      <c r="U75" s="5" t="s">
        <v>1047</v>
      </c>
      <c r="V75" s="5" t="s">
        <v>1047</v>
      </c>
      <c r="W75" s="5" t="s">
        <v>911</v>
      </c>
      <c r="X75" s="5" t="s">
        <v>911</v>
      </c>
      <c r="Y75" s="4">
        <v>669</v>
      </c>
      <c r="Z75" s="4">
        <v>496</v>
      </c>
      <c r="AA75" s="4">
        <v>511</v>
      </c>
      <c r="AB75" s="4">
        <v>5</v>
      </c>
      <c r="AC75" s="4">
        <v>5</v>
      </c>
      <c r="AD75" s="4">
        <v>30</v>
      </c>
      <c r="AE75" s="4">
        <v>30</v>
      </c>
      <c r="AF75" s="4">
        <v>9</v>
      </c>
      <c r="AG75" s="4">
        <v>9</v>
      </c>
      <c r="AH75" s="4">
        <v>5</v>
      </c>
      <c r="AI75" s="4">
        <v>5</v>
      </c>
      <c r="AJ75" s="4">
        <v>16</v>
      </c>
      <c r="AK75" s="4">
        <v>16</v>
      </c>
      <c r="AL75" s="4">
        <v>3</v>
      </c>
      <c r="AM75" s="4">
        <v>3</v>
      </c>
      <c r="AN75" s="4">
        <v>5</v>
      </c>
      <c r="AO75" s="4">
        <v>5</v>
      </c>
      <c r="AP75" s="3" t="s">
        <v>58</v>
      </c>
      <c r="AQ75" s="3" t="s">
        <v>80</v>
      </c>
      <c r="AR75" s="6" t="str">
        <f>HYPERLINK("http://catalog.hathitrust.org/Record/000825046","HathiTrust Record")</f>
        <v>HathiTrust Record</v>
      </c>
      <c r="AS75" s="6" t="str">
        <f>HYPERLINK("https://creighton-primo.hosted.exlibrisgroup.com/primo-explore/search?tab=default_tab&amp;search_scope=EVERYTHING&amp;vid=01CRU&amp;lang=en_US&amp;offset=0&amp;query=any,contains,991001687559702656","Catalog Record")</f>
        <v>Catalog Record</v>
      </c>
      <c r="AT75" s="6" t="str">
        <f>HYPERLINK("http://www.worldcat.org/oclc/79044","WorldCat Record")</f>
        <v>WorldCat Record</v>
      </c>
      <c r="AU75" s="3" t="s">
        <v>1048</v>
      </c>
      <c r="AV75" s="3" t="s">
        <v>1049</v>
      </c>
      <c r="AW75" s="3" t="s">
        <v>1050</v>
      </c>
      <c r="AX75" s="3" t="s">
        <v>1050</v>
      </c>
      <c r="AY75" s="3" t="s">
        <v>1051</v>
      </c>
      <c r="AZ75" s="3" t="s">
        <v>74</v>
      </c>
      <c r="BC75" s="3" t="s">
        <v>1052</v>
      </c>
      <c r="BD75" s="3" t="s">
        <v>1053</v>
      </c>
    </row>
    <row r="76" spans="1:56" ht="40.5" customHeight="1" x14ac:dyDescent="0.25">
      <c r="A76" s="7" t="s">
        <v>58</v>
      </c>
      <c r="B76" s="2" t="s">
        <v>1054</v>
      </c>
      <c r="C76" s="2" t="s">
        <v>1055</v>
      </c>
      <c r="D76" s="2" t="s">
        <v>1056</v>
      </c>
      <c r="F76" s="3" t="s">
        <v>58</v>
      </c>
      <c r="G76" s="3" t="s">
        <v>59</v>
      </c>
      <c r="H76" s="3" t="s">
        <v>58</v>
      </c>
      <c r="I76" s="3" t="s">
        <v>58</v>
      </c>
      <c r="J76" s="3" t="s">
        <v>60</v>
      </c>
      <c r="K76" s="2" t="s">
        <v>1057</v>
      </c>
      <c r="L76" s="2" t="s">
        <v>1058</v>
      </c>
      <c r="M76" s="3" t="s">
        <v>532</v>
      </c>
      <c r="O76" s="3" t="s">
        <v>65</v>
      </c>
      <c r="P76" s="3" t="s">
        <v>169</v>
      </c>
      <c r="Q76" s="2" t="s">
        <v>1059</v>
      </c>
      <c r="R76" s="3" t="s">
        <v>67</v>
      </c>
      <c r="S76" s="4">
        <v>1</v>
      </c>
      <c r="T76" s="4">
        <v>1</v>
      </c>
      <c r="U76" s="5" t="s">
        <v>1060</v>
      </c>
      <c r="V76" s="5" t="s">
        <v>1060</v>
      </c>
      <c r="W76" s="5" t="s">
        <v>1060</v>
      </c>
      <c r="X76" s="5" t="s">
        <v>1060</v>
      </c>
      <c r="Y76" s="4">
        <v>353</v>
      </c>
      <c r="Z76" s="4">
        <v>301</v>
      </c>
      <c r="AA76" s="4">
        <v>1141</v>
      </c>
      <c r="AB76" s="4">
        <v>3</v>
      </c>
      <c r="AC76" s="4">
        <v>32</v>
      </c>
      <c r="AD76" s="4">
        <v>17</v>
      </c>
      <c r="AE76" s="4">
        <v>51</v>
      </c>
      <c r="AF76" s="4">
        <v>8</v>
      </c>
      <c r="AG76" s="4">
        <v>18</v>
      </c>
      <c r="AH76" s="4">
        <v>2</v>
      </c>
      <c r="AI76" s="4">
        <v>9</v>
      </c>
      <c r="AJ76" s="4">
        <v>12</v>
      </c>
      <c r="AK76" s="4">
        <v>20</v>
      </c>
      <c r="AL76" s="4">
        <v>2</v>
      </c>
      <c r="AM76" s="4">
        <v>13</v>
      </c>
      <c r="AN76" s="4">
        <v>0</v>
      </c>
      <c r="AO76" s="4">
        <v>1</v>
      </c>
      <c r="AP76" s="3" t="s">
        <v>58</v>
      </c>
      <c r="AQ76" s="3" t="s">
        <v>58</v>
      </c>
      <c r="AS76" s="6" t="str">
        <f>HYPERLINK("https://creighton-primo.hosted.exlibrisgroup.com/primo-explore/search?tab=default_tab&amp;search_scope=EVERYTHING&amp;vid=01CRU&amp;lang=en_US&amp;offset=0&amp;query=any,contains,991004470199702656","Catalog Record")</f>
        <v>Catalog Record</v>
      </c>
      <c r="AT76" s="6" t="str">
        <f>HYPERLINK("http://www.worldcat.org/oclc/56068724","WorldCat Record")</f>
        <v>WorldCat Record</v>
      </c>
      <c r="AU76" s="3" t="s">
        <v>1061</v>
      </c>
      <c r="AV76" s="3" t="s">
        <v>1062</v>
      </c>
      <c r="AW76" s="3" t="s">
        <v>1063</v>
      </c>
      <c r="AX76" s="3" t="s">
        <v>1063</v>
      </c>
      <c r="AY76" s="3" t="s">
        <v>1064</v>
      </c>
      <c r="AZ76" s="3" t="s">
        <v>74</v>
      </c>
      <c r="BB76" s="3" t="s">
        <v>1065</v>
      </c>
      <c r="BC76" s="3" t="s">
        <v>1066</v>
      </c>
      <c r="BD76" s="3" t="s">
        <v>1067</v>
      </c>
    </row>
    <row r="77" spans="1:56" ht="40.5" customHeight="1" x14ac:dyDescent="0.25">
      <c r="A77" s="7" t="s">
        <v>58</v>
      </c>
      <c r="B77" s="2" t="s">
        <v>1068</v>
      </c>
      <c r="C77" s="2" t="s">
        <v>1069</v>
      </c>
      <c r="D77" s="2" t="s">
        <v>1070</v>
      </c>
      <c r="F77" s="3" t="s">
        <v>58</v>
      </c>
      <c r="G77" s="3" t="s">
        <v>59</v>
      </c>
      <c r="H77" s="3" t="s">
        <v>58</v>
      </c>
      <c r="I77" s="3" t="s">
        <v>58</v>
      </c>
      <c r="J77" s="3" t="s">
        <v>60</v>
      </c>
      <c r="L77" s="2" t="s">
        <v>1071</v>
      </c>
      <c r="M77" s="3" t="s">
        <v>274</v>
      </c>
      <c r="O77" s="3" t="s">
        <v>65</v>
      </c>
      <c r="P77" s="3" t="s">
        <v>169</v>
      </c>
      <c r="R77" s="3" t="s">
        <v>67</v>
      </c>
      <c r="S77" s="4">
        <v>1</v>
      </c>
      <c r="T77" s="4">
        <v>1</v>
      </c>
      <c r="U77" s="5" t="s">
        <v>1072</v>
      </c>
      <c r="V77" s="5" t="s">
        <v>1072</v>
      </c>
      <c r="W77" s="5" t="s">
        <v>1072</v>
      </c>
      <c r="X77" s="5" t="s">
        <v>1072</v>
      </c>
      <c r="Y77" s="4">
        <v>422</v>
      </c>
      <c r="Z77" s="4">
        <v>355</v>
      </c>
      <c r="AA77" s="4">
        <v>620</v>
      </c>
      <c r="AB77" s="4">
        <v>3</v>
      </c>
      <c r="AC77" s="4">
        <v>4</v>
      </c>
      <c r="AD77" s="4">
        <v>20</v>
      </c>
      <c r="AE77" s="4">
        <v>34</v>
      </c>
      <c r="AF77" s="4">
        <v>7</v>
      </c>
      <c r="AG77" s="4">
        <v>15</v>
      </c>
      <c r="AH77" s="4">
        <v>5</v>
      </c>
      <c r="AI77" s="4">
        <v>9</v>
      </c>
      <c r="AJ77" s="4">
        <v>12</v>
      </c>
      <c r="AK77" s="4">
        <v>16</v>
      </c>
      <c r="AL77" s="4">
        <v>2</v>
      </c>
      <c r="AM77" s="4">
        <v>3</v>
      </c>
      <c r="AN77" s="4">
        <v>1</v>
      </c>
      <c r="AO77" s="4">
        <v>1</v>
      </c>
      <c r="AP77" s="3" t="s">
        <v>58</v>
      </c>
      <c r="AQ77" s="3" t="s">
        <v>80</v>
      </c>
      <c r="AR77" s="6" t="str">
        <f>HYPERLINK("http://catalog.hathitrust.org/Record/005083832","HathiTrust Record")</f>
        <v>HathiTrust Record</v>
      </c>
      <c r="AS77" s="6" t="str">
        <f>HYPERLINK("https://creighton-primo.hosted.exlibrisgroup.com/primo-explore/search?tab=default_tab&amp;search_scope=EVERYTHING&amp;vid=01CRU&amp;lang=en_US&amp;offset=0&amp;query=any,contains,991003337339702656","Catalog Record")</f>
        <v>Catalog Record</v>
      </c>
      <c r="AT77" s="6" t="str">
        <f>HYPERLINK("http://www.worldcat.org/oclc/44502069","WorldCat Record")</f>
        <v>WorldCat Record</v>
      </c>
      <c r="AU77" s="3" t="s">
        <v>1073</v>
      </c>
      <c r="AV77" s="3" t="s">
        <v>1074</v>
      </c>
      <c r="AW77" s="3" t="s">
        <v>1075</v>
      </c>
      <c r="AX77" s="3" t="s">
        <v>1075</v>
      </c>
      <c r="AY77" s="3" t="s">
        <v>1076</v>
      </c>
      <c r="AZ77" s="3" t="s">
        <v>74</v>
      </c>
      <c r="BB77" s="3" t="s">
        <v>1077</v>
      </c>
      <c r="BC77" s="3" t="s">
        <v>1078</v>
      </c>
      <c r="BD77" s="3" t="s">
        <v>1079</v>
      </c>
    </row>
    <row r="78" spans="1:56" ht="40.5" customHeight="1" x14ac:dyDescent="0.25">
      <c r="A78" s="7" t="s">
        <v>58</v>
      </c>
      <c r="B78" s="2" t="s">
        <v>1080</v>
      </c>
      <c r="C78" s="2" t="s">
        <v>1081</v>
      </c>
      <c r="D78" s="2" t="s">
        <v>1082</v>
      </c>
      <c r="F78" s="3" t="s">
        <v>58</v>
      </c>
      <c r="G78" s="3" t="s">
        <v>59</v>
      </c>
      <c r="H78" s="3" t="s">
        <v>58</v>
      </c>
      <c r="I78" s="3" t="s">
        <v>80</v>
      </c>
      <c r="J78" s="3" t="s">
        <v>60</v>
      </c>
      <c r="K78" s="2" t="s">
        <v>1083</v>
      </c>
      <c r="L78" s="2" t="s">
        <v>1084</v>
      </c>
      <c r="M78" s="3" t="s">
        <v>405</v>
      </c>
      <c r="O78" s="3" t="s">
        <v>65</v>
      </c>
      <c r="P78" s="3" t="s">
        <v>66</v>
      </c>
      <c r="Q78" s="2" t="s">
        <v>1085</v>
      </c>
      <c r="R78" s="3" t="s">
        <v>67</v>
      </c>
      <c r="S78" s="4">
        <v>1</v>
      </c>
      <c r="T78" s="4">
        <v>1</v>
      </c>
      <c r="U78" s="5" t="s">
        <v>1086</v>
      </c>
      <c r="V78" s="5" t="s">
        <v>1086</v>
      </c>
      <c r="W78" s="5" t="s">
        <v>1087</v>
      </c>
      <c r="X78" s="5" t="s">
        <v>1087</v>
      </c>
      <c r="Y78" s="4">
        <v>197</v>
      </c>
      <c r="Z78" s="4">
        <v>124</v>
      </c>
      <c r="AA78" s="4">
        <v>450</v>
      </c>
      <c r="AB78" s="4">
        <v>1</v>
      </c>
      <c r="AC78" s="4">
        <v>5</v>
      </c>
      <c r="AD78" s="4">
        <v>4</v>
      </c>
      <c r="AE78" s="4">
        <v>15</v>
      </c>
      <c r="AF78" s="4">
        <v>1</v>
      </c>
      <c r="AG78" s="4">
        <v>5</v>
      </c>
      <c r="AH78" s="4">
        <v>2</v>
      </c>
      <c r="AI78" s="4">
        <v>4</v>
      </c>
      <c r="AJ78" s="4">
        <v>2</v>
      </c>
      <c r="AK78" s="4">
        <v>6</v>
      </c>
      <c r="AL78" s="4">
        <v>0</v>
      </c>
      <c r="AM78" s="4">
        <v>3</v>
      </c>
      <c r="AN78" s="4">
        <v>1</v>
      </c>
      <c r="AO78" s="4">
        <v>1</v>
      </c>
      <c r="AP78" s="3" t="s">
        <v>58</v>
      </c>
      <c r="AQ78" s="3" t="s">
        <v>58</v>
      </c>
      <c r="AS78" s="6" t="str">
        <f>HYPERLINK("https://creighton-primo.hosted.exlibrisgroup.com/primo-explore/search?tab=default_tab&amp;search_scope=EVERYTHING&amp;vid=01CRU&amp;lang=en_US&amp;offset=0&amp;query=any,contains,991004124289702656","Catalog Record")</f>
        <v>Catalog Record</v>
      </c>
      <c r="AT78" s="6" t="str">
        <f>HYPERLINK("http://www.worldcat.org/oclc/2439459","WorldCat Record")</f>
        <v>WorldCat Record</v>
      </c>
      <c r="AU78" s="3" t="s">
        <v>1088</v>
      </c>
      <c r="AV78" s="3" t="s">
        <v>1089</v>
      </c>
      <c r="AW78" s="3" t="s">
        <v>1090</v>
      </c>
      <c r="AX78" s="3" t="s">
        <v>1090</v>
      </c>
      <c r="AY78" s="3" t="s">
        <v>1091</v>
      </c>
      <c r="AZ78" s="3" t="s">
        <v>74</v>
      </c>
      <c r="BB78" s="3" t="s">
        <v>1092</v>
      </c>
      <c r="BC78" s="3" t="s">
        <v>1093</v>
      </c>
      <c r="BD78" s="3" t="s">
        <v>1094</v>
      </c>
    </row>
    <row r="79" spans="1:56" ht="40.5" customHeight="1" x14ac:dyDescent="0.25">
      <c r="A79" s="7" t="s">
        <v>58</v>
      </c>
      <c r="B79" s="2" t="s">
        <v>1095</v>
      </c>
      <c r="C79" s="2" t="s">
        <v>1096</v>
      </c>
      <c r="D79" s="2" t="s">
        <v>1097</v>
      </c>
      <c r="F79" s="3" t="s">
        <v>58</v>
      </c>
      <c r="G79" s="3" t="s">
        <v>59</v>
      </c>
      <c r="H79" s="3" t="s">
        <v>58</v>
      </c>
      <c r="I79" s="3" t="s">
        <v>58</v>
      </c>
      <c r="J79" s="3" t="s">
        <v>60</v>
      </c>
      <c r="K79" s="2" t="s">
        <v>1098</v>
      </c>
      <c r="L79" s="2" t="s">
        <v>1099</v>
      </c>
      <c r="M79" s="3" t="s">
        <v>532</v>
      </c>
      <c r="O79" s="3" t="s">
        <v>65</v>
      </c>
      <c r="P79" s="3" t="s">
        <v>275</v>
      </c>
      <c r="Q79" s="2" t="s">
        <v>1100</v>
      </c>
      <c r="R79" s="3" t="s">
        <v>67</v>
      </c>
      <c r="S79" s="4">
        <v>1</v>
      </c>
      <c r="T79" s="4">
        <v>1</v>
      </c>
      <c r="U79" s="5" t="s">
        <v>1101</v>
      </c>
      <c r="V79" s="5" t="s">
        <v>1101</v>
      </c>
      <c r="W79" s="5" t="s">
        <v>1101</v>
      </c>
      <c r="X79" s="5" t="s">
        <v>1101</v>
      </c>
      <c r="Y79" s="4">
        <v>468</v>
      </c>
      <c r="Z79" s="4">
        <v>399</v>
      </c>
      <c r="AA79" s="4">
        <v>407</v>
      </c>
      <c r="AB79" s="4">
        <v>5</v>
      </c>
      <c r="AC79" s="4">
        <v>5</v>
      </c>
      <c r="AD79" s="4">
        <v>21</v>
      </c>
      <c r="AE79" s="4">
        <v>21</v>
      </c>
      <c r="AF79" s="4">
        <v>10</v>
      </c>
      <c r="AG79" s="4">
        <v>10</v>
      </c>
      <c r="AH79" s="4">
        <v>3</v>
      </c>
      <c r="AI79" s="4">
        <v>3</v>
      </c>
      <c r="AJ79" s="4">
        <v>10</v>
      </c>
      <c r="AK79" s="4">
        <v>10</v>
      </c>
      <c r="AL79" s="4">
        <v>4</v>
      </c>
      <c r="AM79" s="4">
        <v>4</v>
      </c>
      <c r="AN79" s="4">
        <v>0</v>
      </c>
      <c r="AO79" s="4">
        <v>0</v>
      </c>
      <c r="AP79" s="3" t="s">
        <v>58</v>
      </c>
      <c r="AQ79" s="3" t="s">
        <v>58</v>
      </c>
      <c r="AS79" s="6" t="str">
        <f>HYPERLINK("https://creighton-primo.hosted.exlibrisgroup.com/primo-explore/search?tab=default_tab&amp;search_scope=EVERYTHING&amp;vid=01CRU&amp;lang=en_US&amp;offset=0&amp;query=any,contains,991004533799702656","Catalog Record")</f>
        <v>Catalog Record</v>
      </c>
      <c r="AT79" s="6" t="str">
        <f>HYPERLINK("http://www.worldcat.org/oclc/54425224","WorldCat Record")</f>
        <v>WorldCat Record</v>
      </c>
      <c r="AU79" s="3" t="s">
        <v>1102</v>
      </c>
      <c r="AV79" s="3" t="s">
        <v>1103</v>
      </c>
      <c r="AW79" s="3" t="s">
        <v>1104</v>
      </c>
      <c r="AX79" s="3" t="s">
        <v>1104</v>
      </c>
      <c r="AY79" s="3" t="s">
        <v>1105</v>
      </c>
      <c r="AZ79" s="3" t="s">
        <v>74</v>
      </c>
      <c r="BB79" s="3" t="s">
        <v>1106</v>
      </c>
      <c r="BC79" s="3" t="s">
        <v>1107</v>
      </c>
      <c r="BD79" s="3" t="s">
        <v>1108</v>
      </c>
    </row>
    <row r="80" spans="1:56" ht="40.5" customHeight="1" x14ac:dyDescent="0.25">
      <c r="A80" s="7" t="s">
        <v>58</v>
      </c>
      <c r="B80" s="2" t="s">
        <v>1109</v>
      </c>
      <c r="C80" s="2" t="s">
        <v>1110</v>
      </c>
      <c r="D80" s="2" t="s">
        <v>1111</v>
      </c>
      <c r="F80" s="3" t="s">
        <v>58</v>
      </c>
      <c r="G80" s="3" t="s">
        <v>59</v>
      </c>
      <c r="H80" s="3" t="s">
        <v>58</v>
      </c>
      <c r="I80" s="3" t="s">
        <v>80</v>
      </c>
      <c r="J80" s="3" t="s">
        <v>60</v>
      </c>
      <c r="K80" s="2" t="s">
        <v>1112</v>
      </c>
      <c r="L80" s="2" t="s">
        <v>1113</v>
      </c>
      <c r="M80" s="3" t="s">
        <v>1114</v>
      </c>
      <c r="N80" s="2" t="s">
        <v>1115</v>
      </c>
      <c r="O80" s="3" t="s">
        <v>65</v>
      </c>
      <c r="P80" s="3" t="s">
        <v>616</v>
      </c>
      <c r="R80" s="3" t="s">
        <v>67</v>
      </c>
      <c r="S80" s="4">
        <v>1</v>
      </c>
      <c r="T80" s="4">
        <v>1</v>
      </c>
      <c r="U80" s="5" t="s">
        <v>1116</v>
      </c>
      <c r="V80" s="5" t="s">
        <v>1116</v>
      </c>
      <c r="W80" s="5" t="s">
        <v>1116</v>
      </c>
      <c r="X80" s="5" t="s">
        <v>1116</v>
      </c>
      <c r="Y80" s="4">
        <v>212</v>
      </c>
      <c r="Z80" s="4">
        <v>92</v>
      </c>
      <c r="AA80" s="4">
        <v>825</v>
      </c>
      <c r="AB80" s="4">
        <v>2</v>
      </c>
      <c r="AC80" s="4">
        <v>6</v>
      </c>
      <c r="AD80" s="4">
        <v>4</v>
      </c>
      <c r="AE80" s="4">
        <v>30</v>
      </c>
      <c r="AF80" s="4">
        <v>2</v>
      </c>
      <c r="AG80" s="4">
        <v>14</v>
      </c>
      <c r="AH80" s="4">
        <v>0</v>
      </c>
      <c r="AI80" s="4">
        <v>6</v>
      </c>
      <c r="AJ80" s="4">
        <v>2</v>
      </c>
      <c r="AK80" s="4">
        <v>13</v>
      </c>
      <c r="AL80" s="4">
        <v>1</v>
      </c>
      <c r="AM80" s="4">
        <v>4</v>
      </c>
      <c r="AN80" s="4">
        <v>1</v>
      </c>
      <c r="AO80" s="4">
        <v>2</v>
      </c>
      <c r="AP80" s="3" t="s">
        <v>58</v>
      </c>
      <c r="AQ80" s="3" t="s">
        <v>80</v>
      </c>
      <c r="AR80" s="6" t="str">
        <f>HYPERLINK("http://catalog.hathitrust.org/Record/007059863","HathiTrust Record")</f>
        <v>HathiTrust Record</v>
      </c>
      <c r="AS80" s="6" t="str">
        <f>HYPERLINK("https://creighton-primo.hosted.exlibrisgroup.com/primo-explore/search?tab=default_tab&amp;search_scope=EVERYTHING&amp;vid=01CRU&amp;lang=en_US&amp;offset=0&amp;query=any,contains,991005377389702656","Catalog Record")</f>
        <v>Catalog Record</v>
      </c>
      <c r="AT80" s="6" t="str">
        <f>HYPERLINK("http://www.worldcat.org/oclc/23651561","WorldCat Record")</f>
        <v>WorldCat Record</v>
      </c>
      <c r="AU80" s="3" t="s">
        <v>1117</v>
      </c>
      <c r="AV80" s="3" t="s">
        <v>1118</v>
      </c>
      <c r="AW80" s="3" t="s">
        <v>1119</v>
      </c>
      <c r="AX80" s="3" t="s">
        <v>1119</v>
      </c>
      <c r="AY80" s="3" t="s">
        <v>1120</v>
      </c>
      <c r="AZ80" s="3" t="s">
        <v>74</v>
      </c>
      <c r="BB80" s="3" t="s">
        <v>1121</v>
      </c>
      <c r="BC80" s="3" t="s">
        <v>1122</v>
      </c>
      <c r="BD80" s="3" t="s">
        <v>1123</v>
      </c>
    </row>
    <row r="81" spans="1:56" ht="40.5" customHeight="1" x14ac:dyDescent="0.25">
      <c r="A81" s="7" t="s">
        <v>58</v>
      </c>
      <c r="B81" s="2" t="s">
        <v>1124</v>
      </c>
      <c r="C81" s="2" t="s">
        <v>1125</v>
      </c>
      <c r="D81" s="2" t="s">
        <v>1126</v>
      </c>
      <c r="F81" s="3" t="s">
        <v>58</v>
      </c>
      <c r="G81" s="3" t="s">
        <v>59</v>
      </c>
      <c r="H81" s="3" t="s">
        <v>58</v>
      </c>
      <c r="I81" s="3" t="s">
        <v>58</v>
      </c>
      <c r="J81" s="3" t="s">
        <v>60</v>
      </c>
      <c r="L81" s="2" t="s">
        <v>1127</v>
      </c>
      <c r="M81" s="3" t="s">
        <v>139</v>
      </c>
      <c r="O81" s="3" t="s">
        <v>65</v>
      </c>
      <c r="P81" s="3" t="s">
        <v>244</v>
      </c>
      <c r="Q81" s="2" t="s">
        <v>1128</v>
      </c>
      <c r="R81" s="3" t="s">
        <v>67</v>
      </c>
      <c r="S81" s="4">
        <v>1</v>
      </c>
      <c r="T81" s="4">
        <v>1</v>
      </c>
      <c r="U81" s="5" t="s">
        <v>1129</v>
      </c>
      <c r="V81" s="5" t="s">
        <v>1129</v>
      </c>
      <c r="W81" s="5" t="s">
        <v>1130</v>
      </c>
      <c r="X81" s="5" t="s">
        <v>1130</v>
      </c>
      <c r="Y81" s="4">
        <v>24</v>
      </c>
      <c r="Z81" s="4">
        <v>23</v>
      </c>
      <c r="AA81" s="4">
        <v>23</v>
      </c>
      <c r="AB81" s="4">
        <v>1</v>
      </c>
      <c r="AC81" s="4">
        <v>1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3" t="s">
        <v>58</v>
      </c>
      <c r="AQ81" s="3" t="s">
        <v>58</v>
      </c>
      <c r="AS81" s="6" t="str">
        <f>HYPERLINK("https://creighton-primo.hosted.exlibrisgroup.com/primo-explore/search?tab=default_tab&amp;search_scope=EVERYTHING&amp;vid=01CRU&amp;lang=en_US&amp;offset=0&amp;query=any,contains,991001401319702656","Catalog Record")</f>
        <v>Catalog Record</v>
      </c>
      <c r="AT81" s="6" t="str">
        <f>HYPERLINK("http://www.worldcat.org/oclc/18822798","WorldCat Record")</f>
        <v>WorldCat Record</v>
      </c>
      <c r="AU81" s="3" t="s">
        <v>1131</v>
      </c>
      <c r="AV81" s="3" t="s">
        <v>1132</v>
      </c>
      <c r="AW81" s="3" t="s">
        <v>1133</v>
      </c>
      <c r="AX81" s="3" t="s">
        <v>1133</v>
      </c>
      <c r="AY81" s="3" t="s">
        <v>1134</v>
      </c>
      <c r="AZ81" s="3" t="s">
        <v>74</v>
      </c>
      <c r="BC81" s="3" t="s">
        <v>1135</v>
      </c>
      <c r="BD81" s="3" t="s">
        <v>1136</v>
      </c>
    </row>
    <row r="82" spans="1:56" ht="40.5" customHeight="1" x14ac:dyDescent="0.25">
      <c r="A82" s="7" t="s">
        <v>58</v>
      </c>
      <c r="B82" s="2" t="s">
        <v>1137</v>
      </c>
      <c r="C82" s="2" t="s">
        <v>1138</v>
      </c>
      <c r="D82" s="2" t="s">
        <v>1139</v>
      </c>
      <c r="F82" s="3" t="s">
        <v>58</v>
      </c>
      <c r="G82" s="3" t="s">
        <v>59</v>
      </c>
      <c r="H82" s="3" t="s">
        <v>58</v>
      </c>
      <c r="I82" s="3" t="s">
        <v>58</v>
      </c>
      <c r="J82" s="3" t="s">
        <v>60</v>
      </c>
      <c r="K82" s="2" t="s">
        <v>1140</v>
      </c>
      <c r="L82" s="2" t="s">
        <v>1141</v>
      </c>
      <c r="M82" s="3" t="s">
        <v>405</v>
      </c>
      <c r="O82" s="3" t="s">
        <v>65</v>
      </c>
      <c r="P82" s="3" t="s">
        <v>275</v>
      </c>
      <c r="R82" s="3" t="s">
        <v>67</v>
      </c>
      <c r="S82" s="4">
        <v>1</v>
      </c>
      <c r="T82" s="4">
        <v>1</v>
      </c>
      <c r="U82" s="5" t="s">
        <v>1142</v>
      </c>
      <c r="V82" s="5" t="s">
        <v>1142</v>
      </c>
      <c r="W82" s="5" t="s">
        <v>1143</v>
      </c>
      <c r="X82" s="5" t="s">
        <v>1143</v>
      </c>
      <c r="Y82" s="4">
        <v>417</v>
      </c>
      <c r="Z82" s="4">
        <v>313</v>
      </c>
      <c r="AA82" s="4">
        <v>418</v>
      </c>
      <c r="AB82" s="4">
        <v>3</v>
      </c>
      <c r="AC82" s="4">
        <v>3</v>
      </c>
      <c r="AD82" s="4">
        <v>16</v>
      </c>
      <c r="AE82" s="4">
        <v>19</v>
      </c>
      <c r="AF82" s="4">
        <v>6</v>
      </c>
      <c r="AG82" s="4">
        <v>7</v>
      </c>
      <c r="AH82" s="4">
        <v>3</v>
      </c>
      <c r="AI82" s="4">
        <v>4</v>
      </c>
      <c r="AJ82" s="4">
        <v>11</v>
      </c>
      <c r="AK82" s="4">
        <v>14</v>
      </c>
      <c r="AL82" s="4">
        <v>2</v>
      </c>
      <c r="AM82" s="4">
        <v>2</v>
      </c>
      <c r="AN82" s="4">
        <v>0</v>
      </c>
      <c r="AO82" s="4">
        <v>0</v>
      </c>
      <c r="AP82" s="3" t="s">
        <v>58</v>
      </c>
      <c r="AQ82" s="3" t="s">
        <v>80</v>
      </c>
      <c r="AR82" s="6" t="str">
        <f>HYPERLINK("http://catalog.hathitrust.org/Record/004500314","HathiTrust Record")</f>
        <v>HathiTrust Record</v>
      </c>
      <c r="AS82" s="6" t="str">
        <f>HYPERLINK("https://creighton-primo.hosted.exlibrisgroup.com/primo-explore/search?tab=default_tab&amp;search_scope=EVERYTHING&amp;vid=01CRU&amp;lang=en_US&amp;offset=0&amp;query=any,contains,991004066379702656","Catalog Record")</f>
        <v>Catalog Record</v>
      </c>
      <c r="AT82" s="6" t="str">
        <f>HYPERLINK("http://www.worldcat.org/oclc/2284151","WorldCat Record")</f>
        <v>WorldCat Record</v>
      </c>
      <c r="AU82" s="3" t="s">
        <v>1144</v>
      </c>
      <c r="AV82" s="3" t="s">
        <v>1145</v>
      </c>
      <c r="AW82" s="3" t="s">
        <v>1146</v>
      </c>
      <c r="AX82" s="3" t="s">
        <v>1146</v>
      </c>
      <c r="AY82" s="3" t="s">
        <v>1147</v>
      </c>
      <c r="AZ82" s="3" t="s">
        <v>74</v>
      </c>
      <c r="BB82" s="3" t="s">
        <v>1148</v>
      </c>
      <c r="BC82" s="3" t="s">
        <v>1149</v>
      </c>
      <c r="BD82" s="3" t="s">
        <v>1150</v>
      </c>
    </row>
    <row r="83" spans="1:56" ht="40.5" customHeight="1" x14ac:dyDescent="0.25">
      <c r="A83" s="7" t="s">
        <v>58</v>
      </c>
      <c r="B83" s="2" t="s">
        <v>1151</v>
      </c>
      <c r="C83" s="2" t="s">
        <v>1152</v>
      </c>
      <c r="D83" s="2" t="s">
        <v>1153</v>
      </c>
      <c r="F83" s="3" t="s">
        <v>58</v>
      </c>
      <c r="G83" s="3" t="s">
        <v>59</v>
      </c>
      <c r="H83" s="3" t="s">
        <v>58</v>
      </c>
      <c r="I83" s="3" t="s">
        <v>58</v>
      </c>
      <c r="J83" s="3" t="s">
        <v>60</v>
      </c>
      <c r="K83" s="2" t="s">
        <v>1154</v>
      </c>
      <c r="L83" s="2" t="s">
        <v>1155</v>
      </c>
      <c r="M83" s="3" t="s">
        <v>1156</v>
      </c>
      <c r="O83" s="3" t="s">
        <v>65</v>
      </c>
      <c r="P83" s="3" t="s">
        <v>169</v>
      </c>
      <c r="R83" s="3" t="s">
        <v>67</v>
      </c>
      <c r="S83" s="4">
        <v>0</v>
      </c>
      <c r="T83" s="4">
        <v>0</v>
      </c>
      <c r="U83" s="5" t="s">
        <v>1157</v>
      </c>
      <c r="V83" s="5" t="s">
        <v>1157</v>
      </c>
      <c r="W83" s="5" t="s">
        <v>1158</v>
      </c>
      <c r="X83" s="5" t="s">
        <v>1158</v>
      </c>
      <c r="Y83" s="4">
        <v>313</v>
      </c>
      <c r="Z83" s="4">
        <v>286</v>
      </c>
      <c r="AA83" s="4">
        <v>286</v>
      </c>
      <c r="AB83" s="4">
        <v>3</v>
      </c>
      <c r="AC83" s="4">
        <v>3</v>
      </c>
      <c r="AD83" s="4">
        <v>11</v>
      </c>
      <c r="AE83" s="4">
        <v>11</v>
      </c>
      <c r="AF83" s="4">
        <v>4</v>
      </c>
      <c r="AG83" s="4">
        <v>4</v>
      </c>
      <c r="AH83" s="4">
        <v>2</v>
      </c>
      <c r="AI83" s="4">
        <v>2</v>
      </c>
      <c r="AJ83" s="4">
        <v>6</v>
      </c>
      <c r="AK83" s="4">
        <v>6</v>
      </c>
      <c r="AL83" s="4">
        <v>2</v>
      </c>
      <c r="AM83" s="4">
        <v>2</v>
      </c>
      <c r="AN83" s="4">
        <v>2</v>
      </c>
      <c r="AO83" s="4">
        <v>2</v>
      </c>
      <c r="AP83" s="3" t="s">
        <v>58</v>
      </c>
      <c r="AQ83" s="3" t="s">
        <v>58</v>
      </c>
      <c r="AS83" s="6" t="str">
        <f>HYPERLINK("https://creighton-primo.hosted.exlibrisgroup.com/primo-explore/search?tab=default_tab&amp;search_scope=EVERYTHING&amp;vid=01CRU&amp;lang=en_US&amp;offset=0&amp;query=any,contains,991002135799702656","Catalog Record")</f>
        <v>Catalog Record</v>
      </c>
      <c r="AT83" s="6" t="str">
        <f>HYPERLINK("http://www.worldcat.org/oclc/27383018","WorldCat Record")</f>
        <v>WorldCat Record</v>
      </c>
      <c r="AU83" s="3" t="s">
        <v>1159</v>
      </c>
      <c r="AV83" s="3" t="s">
        <v>1160</v>
      </c>
      <c r="AW83" s="3" t="s">
        <v>1161</v>
      </c>
      <c r="AX83" s="3" t="s">
        <v>1161</v>
      </c>
      <c r="AY83" s="3" t="s">
        <v>1162</v>
      </c>
      <c r="AZ83" s="3" t="s">
        <v>74</v>
      </c>
      <c r="BB83" s="3" t="s">
        <v>1163</v>
      </c>
      <c r="BC83" s="3" t="s">
        <v>1164</v>
      </c>
      <c r="BD83" s="3" t="s">
        <v>1165</v>
      </c>
    </row>
    <row r="84" spans="1:56" ht="40.5" customHeight="1" x14ac:dyDescent="0.25">
      <c r="A84" s="7" t="s">
        <v>58</v>
      </c>
      <c r="B84" s="2" t="s">
        <v>1166</v>
      </c>
      <c r="C84" s="2" t="s">
        <v>1167</v>
      </c>
      <c r="D84" s="2" t="s">
        <v>1168</v>
      </c>
      <c r="F84" s="3" t="s">
        <v>58</v>
      </c>
      <c r="G84" s="3" t="s">
        <v>59</v>
      </c>
      <c r="H84" s="3" t="s">
        <v>58</v>
      </c>
      <c r="I84" s="3" t="s">
        <v>58</v>
      </c>
      <c r="J84" s="3" t="s">
        <v>60</v>
      </c>
      <c r="K84" s="2" t="s">
        <v>1169</v>
      </c>
      <c r="L84" s="2" t="s">
        <v>1170</v>
      </c>
      <c r="M84" s="3" t="s">
        <v>630</v>
      </c>
      <c r="O84" s="3" t="s">
        <v>65</v>
      </c>
      <c r="P84" s="3" t="s">
        <v>112</v>
      </c>
      <c r="Q84" s="2" t="s">
        <v>1171</v>
      </c>
      <c r="R84" s="3" t="s">
        <v>67</v>
      </c>
      <c r="S84" s="4">
        <v>0</v>
      </c>
      <c r="T84" s="4">
        <v>0</v>
      </c>
      <c r="U84" s="5" t="s">
        <v>1172</v>
      </c>
      <c r="V84" s="5" t="s">
        <v>1172</v>
      </c>
      <c r="W84" s="5" t="s">
        <v>1173</v>
      </c>
      <c r="X84" s="5" t="s">
        <v>1173</v>
      </c>
      <c r="Y84" s="4">
        <v>631</v>
      </c>
      <c r="Z84" s="4">
        <v>516</v>
      </c>
      <c r="AA84" s="4">
        <v>556</v>
      </c>
      <c r="AB84" s="4">
        <v>2</v>
      </c>
      <c r="AC84" s="4">
        <v>2</v>
      </c>
      <c r="AD84" s="4">
        <v>28</v>
      </c>
      <c r="AE84" s="4">
        <v>30</v>
      </c>
      <c r="AF84" s="4">
        <v>10</v>
      </c>
      <c r="AG84" s="4">
        <v>10</v>
      </c>
      <c r="AH84" s="4">
        <v>6</v>
      </c>
      <c r="AI84" s="4">
        <v>6</v>
      </c>
      <c r="AJ84" s="4">
        <v>16</v>
      </c>
      <c r="AK84" s="4">
        <v>16</v>
      </c>
      <c r="AL84" s="4">
        <v>1</v>
      </c>
      <c r="AM84" s="4">
        <v>1</v>
      </c>
      <c r="AN84" s="4">
        <v>3</v>
      </c>
      <c r="AO84" s="4">
        <v>5</v>
      </c>
      <c r="AP84" s="3" t="s">
        <v>58</v>
      </c>
      <c r="AQ84" s="3" t="s">
        <v>58</v>
      </c>
      <c r="AS84" s="6" t="str">
        <f>HYPERLINK("https://creighton-primo.hosted.exlibrisgroup.com/primo-explore/search?tab=default_tab&amp;search_scope=EVERYTHING&amp;vid=01CRU&amp;lang=en_US&amp;offset=0&amp;query=any,contains,991003008709702656","Catalog Record")</f>
        <v>Catalog Record</v>
      </c>
      <c r="AT84" s="6" t="str">
        <f>HYPERLINK("http://www.worldcat.org/oclc/576220","WorldCat Record")</f>
        <v>WorldCat Record</v>
      </c>
      <c r="AU84" s="3" t="s">
        <v>1174</v>
      </c>
      <c r="AV84" s="3" t="s">
        <v>1175</v>
      </c>
      <c r="AW84" s="3" t="s">
        <v>1176</v>
      </c>
      <c r="AX84" s="3" t="s">
        <v>1176</v>
      </c>
      <c r="AY84" s="3" t="s">
        <v>1177</v>
      </c>
      <c r="AZ84" s="3" t="s">
        <v>74</v>
      </c>
      <c r="BC84" s="3" t="s">
        <v>1178</v>
      </c>
      <c r="BD84" s="3" t="s">
        <v>1179</v>
      </c>
    </row>
    <row r="85" spans="1:56" ht="40.5" customHeight="1" x14ac:dyDescent="0.25">
      <c r="A85" s="7" t="s">
        <v>58</v>
      </c>
      <c r="B85" s="2" t="s">
        <v>1180</v>
      </c>
      <c r="C85" s="2" t="s">
        <v>1181</v>
      </c>
      <c r="D85" s="2" t="s">
        <v>1182</v>
      </c>
      <c r="F85" s="3" t="s">
        <v>58</v>
      </c>
      <c r="G85" s="3" t="s">
        <v>59</v>
      </c>
      <c r="H85" s="3" t="s">
        <v>58</v>
      </c>
      <c r="I85" s="3" t="s">
        <v>58</v>
      </c>
      <c r="J85" s="3" t="s">
        <v>60</v>
      </c>
      <c r="K85" s="2" t="s">
        <v>1183</v>
      </c>
      <c r="L85" s="2" t="s">
        <v>1184</v>
      </c>
      <c r="M85" s="3" t="s">
        <v>212</v>
      </c>
      <c r="O85" s="3" t="s">
        <v>65</v>
      </c>
      <c r="P85" s="3" t="s">
        <v>66</v>
      </c>
      <c r="Q85" s="2" t="s">
        <v>1085</v>
      </c>
      <c r="R85" s="3" t="s">
        <v>67</v>
      </c>
      <c r="S85" s="4">
        <v>1</v>
      </c>
      <c r="T85" s="4">
        <v>1</v>
      </c>
      <c r="U85" s="5" t="s">
        <v>1185</v>
      </c>
      <c r="V85" s="5" t="s">
        <v>1185</v>
      </c>
      <c r="W85" s="5" t="s">
        <v>1186</v>
      </c>
      <c r="X85" s="5" t="s">
        <v>1186</v>
      </c>
      <c r="Y85" s="4">
        <v>249</v>
      </c>
      <c r="Z85" s="4">
        <v>182</v>
      </c>
      <c r="AA85" s="4">
        <v>464</v>
      </c>
      <c r="AB85" s="4">
        <v>2</v>
      </c>
      <c r="AC85" s="4">
        <v>4</v>
      </c>
      <c r="AD85" s="4">
        <v>4</v>
      </c>
      <c r="AE85" s="4">
        <v>18</v>
      </c>
      <c r="AF85" s="4">
        <v>0</v>
      </c>
      <c r="AG85" s="4">
        <v>9</v>
      </c>
      <c r="AH85" s="4">
        <v>1</v>
      </c>
      <c r="AI85" s="4">
        <v>1</v>
      </c>
      <c r="AJ85" s="4">
        <v>3</v>
      </c>
      <c r="AK85" s="4">
        <v>9</v>
      </c>
      <c r="AL85" s="4">
        <v>1</v>
      </c>
      <c r="AM85" s="4">
        <v>3</v>
      </c>
      <c r="AN85" s="4">
        <v>0</v>
      </c>
      <c r="AO85" s="4">
        <v>0</v>
      </c>
      <c r="AP85" s="3" t="s">
        <v>58</v>
      </c>
      <c r="AQ85" s="3" t="s">
        <v>80</v>
      </c>
      <c r="AR85" s="6" t="str">
        <f>HYPERLINK("http://catalog.hathitrust.org/Record/004500589","HathiTrust Record")</f>
        <v>HathiTrust Record</v>
      </c>
      <c r="AS85" s="6" t="str">
        <f>HYPERLINK("https://creighton-primo.hosted.exlibrisgroup.com/primo-explore/search?tab=default_tab&amp;search_scope=EVERYTHING&amp;vid=01CRU&amp;lang=en_US&amp;offset=0&amp;query=any,contains,991001296929702656","Catalog Record")</f>
        <v>Catalog Record</v>
      </c>
      <c r="AT85" s="6" t="str">
        <f>HYPERLINK("http://www.worldcat.org/oclc/220246","WorldCat Record")</f>
        <v>WorldCat Record</v>
      </c>
      <c r="AU85" s="3" t="s">
        <v>1187</v>
      </c>
      <c r="AV85" s="3" t="s">
        <v>1188</v>
      </c>
      <c r="AW85" s="3" t="s">
        <v>1189</v>
      </c>
      <c r="AX85" s="3" t="s">
        <v>1189</v>
      </c>
      <c r="AY85" s="3" t="s">
        <v>1190</v>
      </c>
      <c r="AZ85" s="3" t="s">
        <v>74</v>
      </c>
      <c r="BB85" s="3" t="s">
        <v>1191</v>
      </c>
      <c r="BC85" s="3" t="s">
        <v>1192</v>
      </c>
      <c r="BD85" s="3" t="s">
        <v>1193</v>
      </c>
    </row>
    <row r="86" spans="1:56" ht="40.5" customHeight="1" x14ac:dyDescent="0.25">
      <c r="A86" s="7" t="s">
        <v>58</v>
      </c>
      <c r="B86" s="2" t="s">
        <v>1194</v>
      </c>
      <c r="C86" s="2" t="s">
        <v>1195</v>
      </c>
      <c r="D86" s="2" t="s">
        <v>1196</v>
      </c>
      <c r="F86" s="3" t="s">
        <v>58</v>
      </c>
      <c r="G86" s="3" t="s">
        <v>59</v>
      </c>
      <c r="H86" s="3" t="s">
        <v>58</v>
      </c>
      <c r="I86" s="3" t="s">
        <v>58</v>
      </c>
      <c r="J86" s="3" t="s">
        <v>60</v>
      </c>
      <c r="K86" s="2" t="s">
        <v>1197</v>
      </c>
      <c r="L86" s="2" t="s">
        <v>1198</v>
      </c>
      <c r="M86" s="3" t="s">
        <v>1199</v>
      </c>
      <c r="N86" s="2" t="s">
        <v>662</v>
      </c>
      <c r="O86" s="3" t="s">
        <v>65</v>
      </c>
      <c r="P86" s="3" t="s">
        <v>66</v>
      </c>
      <c r="R86" s="3" t="s">
        <v>67</v>
      </c>
      <c r="S86" s="4">
        <v>1</v>
      </c>
      <c r="T86" s="4">
        <v>1</v>
      </c>
      <c r="U86" s="5" t="s">
        <v>1200</v>
      </c>
      <c r="V86" s="5" t="s">
        <v>1200</v>
      </c>
      <c r="W86" s="5" t="s">
        <v>1201</v>
      </c>
      <c r="X86" s="5" t="s">
        <v>1201</v>
      </c>
      <c r="Y86" s="4">
        <v>241</v>
      </c>
      <c r="Z86" s="4">
        <v>173</v>
      </c>
      <c r="AA86" s="4">
        <v>372</v>
      </c>
      <c r="AB86" s="4">
        <v>1</v>
      </c>
      <c r="AC86" s="4">
        <v>3</v>
      </c>
      <c r="AD86" s="4">
        <v>4</v>
      </c>
      <c r="AE86" s="4">
        <v>23</v>
      </c>
      <c r="AF86" s="4">
        <v>1</v>
      </c>
      <c r="AG86" s="4">
        <v>10</v>
      </c>
      <c r="AH86" s="4">
        <v>2</v>
      </c>
      <c r="AI86" s="4">
        <v>5</v>
      </c>
      <c r="AJ86" s="4">
        <v>3</v>
      </c>
      <c r="AK86" s="4">
        <v>12</v>
      </c>
      <c r="AL86" s="4">
        <v>0</v>
      </c>
      <c r="AM86" s="4">
        <v>2</v>
      </c>
      <c r="AN86" s="4">
        <v>0</v>
      </c>
      <c r="AO86" s="4">
        <v>0</v>
      </c>
      <c r="AP86" s="3" t="s">
        <v>58</v>
      </c>
      <c r="AQ86" s="3" t="s">
        <v>58</v>
      </c>
      <c r="AS86" s="6" t="str">
        <f>HYPERLINK("https://creighton-primo.hosted.exlibrisgroup.com/primo-explore/search?tab=default_tab&amp;search_scope=EVERYTHING&amp;vid=01CRU&amp;lang=en_US&amp;offset=0&amp;query=any,contains,991001000579702656","Catalog Record")</f>
        <v>Catalog Record</v>
      </c>
      <c r="AT86" s="6" t="str">
        <f>HYPERLINK("http://www.worldcat.org/oclc/172016","WorldCat Record")</f>
        <v>WorldCat Record</v>
      </c>
      <c r="AU86" s="3" t="s">
        <v>1202</v>
      </c>
      <c r="AV86" s="3" t="s">
        <v>1203</v>
      </c>
      <c r="AW86" s="3" t="s">
        <v>1204</v>
      </c>
      <c r="AX86" s="3" t="s">
        <v>1204</v>
      </c>
      <c r="AY86" s="3" t="s">
        <v>1205</v>
      </c>
      <c r="AZ86" s="3" t="s">
        <v>74</v>
      </c>
      <c r="BC86" s="3" t="s">
        <v>1206</v>
      </c>
      <c r="BD86" s="3" t="s">
        <v>1207</v>
      </c>
    </row>
    <row r="87" spans="1:56" ht="40.5" customHeight="1" x14ac:dyDescent="0.25">
      <c r="A87" s="7" t="s">
        <v>58</v>
      </c>
      <c r="B87" s="2" t="s">
        <v>1208</v>
      </c>
      <c r="C87" s="2" t="s">
        <v>1209</v>
      </c>
      <c r="D87" s="2" t="s">
        <v>1210</v>
      </c>
      <c r="F87" s="3" t="s">
        <v>58</v>
      </c>
      <c r="G87" s="3" t="s">
        <v>59</v>
      </c>
      <c r="H87" s="3" t="s">
        <v>58</v>
      </c>
      <c r="I87" s="3" t="s">
        <v>58</v>
      </c>
      <c r="J87" s="3" t="s">
        <v>60</v>
      </c>
      <c r="K87" s="2" t="s">
        <v>1211</v>
      </c>
      <c r="L87" s="2" t="s">
        <v>1212</v>
      </c>
      <c r="M87" s="3" t="s">
        <v>1213</v>
      </c>
      <c r="N87" s="2" t="s">
        <v>1214</v>
      </c>
      <c r="O87" s="3" t="s">
        <v>65</v>
      </c>
      <c r="P87" s="3" t="s">
        <v>66</v>
      </c>
      <c r="R87" s="3" t="s">
        <v>67</v>
      </c>
      <c r="S87" s="4">
        <v>1</v>
      </c>
      <c r="T87" s="4">
        <v>1</v>
      </c>
      <c r="U87" s="5" t="s">
        <v>1215</v>
      </c>
      <c r="V87" s="5" t="s">
        <v>1215</v>
      </c>
      <c r="W87" s="5" t="s">
        <v>1215</v>
      </c>
      <c r="X87" s="5" t="s">
        <v>1215</v>
      </c>
      <c r="Y87" s="4">
        <v>67</v>
      </c>
      <c r="Z87" s="4">
        <v>53</v>
      </c>
      <c r="AA87" s="4">
        <v>614</v>
      </c>
      <c r="AB87" s="4">
        <v>1</v>
      </c>
      <c r="AC87" s="4">
        <v>7</v>
      </c>
      <c r="AD87" s="4">
        <v>2</v>
      </c>
      <c r="AE87" s="4">
        <v>11</v>
      </c>
      <c r="AF87" s="4">
        <v>1</v>
      </c>
      <c r="AG87" s="4">
        <v>3</v>
      </c>
      <c r="AH87" s="4">
        <v>0</v>
      </c>
      <c r="AI87" s="4">
        <v>0</v>
      </c>
      <c r="AJ87" s="4">
        <v>1</v>
      </c>
      <c r="AK87" s="4">
        <v>6</v>
      </c>
      <c r="AL87" s="4">
        <v>0</v>
      </c>
      <c r="AM87" s="4">
        <v>3</v>
      </c>
      <c r="AN87" s="4">
        <v>0</v>
      </c>
      <c r="AO87" s="4">
        <v>0</v>
      </c>
      <c r="AP87" s="3" t="s">
        <v>58</v>
      </c>
      <c r="AQ87" s="3" t="s">
        <v>80</v>
      </c>
      <c r="AR87" s="6" t="str">
        <f>HYPERLINK("http://catalog.hathitrust.org/Record/007565101","HathiTrust Record")</f>
        <v>HathiTrust Record</v>
      </c>
      <c r="AS87" s="6" t="str">
        <f>HYPERLINK("https://creighton-primo.hosted.exlibrisgroup.com/primo-explore/search?tab=default_tab&amp;search_scope=EVERYTHING&amp;vid=01CRU&amp;lang=en_US&amp;offset=0&amp;query=any,contains,991005397979702656","Catalog Record")</f>
        <v>Catalog Record</v>
      </c>
      <c r="AT87" s="6" t="str">
        <f>HYPERLINK("http://www.worldcat.org/oclc/52465419","WorldCat Record")</f>
        <v>WorldCat Record</v>
      </c>
      <c r="AU87" s="3" t="s">
        <v>1216</v>
      </c>
      <c r="AV87" s="3" t="s">
        <v>1217</v>
      </c>
      <c r="AW87" s="3" t="s">
        <v>1218</v>
      </c>
      <c r="AX87" s="3" t="s">
        <v>1218</v>
      </c>
      <c r="AY87" s="3" t="s">
        <v>1219</v>
      </c>
      <c r="AZ87" s="3" t="s">
        <v>74</v>
      </c>
      <c r="BB87" s="3" t="s">
        <v>1220</v>
      </c>
      <c r="BC87" s="3" t="s">
        <v>1221</v>
      </c>
      <c r="BD87" s="3" t="s">
        <v>1222</v>
      </c>
    </row>
    <row r="88" spans="1:56" ht="40.5" customHeight="1" x14ac:dyDescent="0.25">
      <c r="A88" s="7" t="s">
        <v>58</v>
      </c>
      <c r="B88" s="2" t="s">
        <v>1223</v>
      </c>
      <c r="C88" s="2" t="s">
        <v>1224</v>
      </c>
      <c r="D88" s="2" t="s">
        <v>1225</v>
      </c>
      <c r="F88" s="3" t="s">
        <v>58</v>
      </c>
      <c r="G88" s="3" t="s">
        <v>59</v>
      </c>
      <c r="H88" s="3" t="s">
        <v>58</v>
      </c>
      <c r="I88" s="3" t="s">
        <v>58</v>
      </c>
      <c r="J88" s="3" t="s">
        <v>60</v>
      </c>
      <c r="L88" s="2" t="s">
        <v>1226</v>
      </c>
      <c r="M88" s="3" t="s">
        <v>1227</v>
      </c>
      <c r="O88" s="3" t="s">
        <v>65</v>
      </c>
      <c r="P88" s="3" t="s">
        <v>244</v>
      </c>
      <c r="Q88" s="2" t="s">
        <v>1228</v>
      </c>
      <c r="R88" s="3" t="s">
        <v>67</v>
      </c>
      <c r="S88" s="4">
        <v>1</v>
      </c>
      <c r="T88" s="4">
        <v>1</v>
      </c>
      <c r="U88" s="5" t="s">
        <v>1229</v>
      </c>
      <c r="V88" s="5" t="s">
        <v>1229</v>
      </c>
      <c r="W88" s="5" t="s">
        <v>1230</v>
      </c>
      <c r="X88" s="5" t="s">
        <v>1230</v>
      </c>
      <c r="Y88" s="4">
        <v>372</v>
      </c>
      <c r="Z88" s="4">
        <v>301</v>
      </c>
      <c r="AA88" s="4">
        <v>308</v>
      </c>
      <c r="AB88" s="4">
        <v>3</v>
      </c>
      <c r="AC88" s="4">
        <v>3</v>
      </c>
      <c r="AD88" s="4">
        <v>21</v>
      </c>
      <c r="AE88" s="4">
        <v>21</v>
      </c>
      <c r="AF88" s="4">
        <v>7</v>
      </c>
      <c r="AG88" s="4">
        <v>7</v>
      </c>
      <c r="AH88" s="4">
        <v>6</v>
      </c>
      <c r="AI88" s="4">
        <v>6</v>
      </c>
      <c r="AJ88" s="4">
        <v>12</v>
      </c>
      <c r="AK88" s="4">
        <v>12</v>
      </c>
      <c r="AL88" s="4">
        <v>2</v>
      </c>
      <c r="AM88" s="4">
        <v>2</v>
      </c>
      <c r="AN88" s="4">
        <v>0</v>
      </c>
      <c r="AO88" s="4">
        <v>0</v>
      </c>
      <c r="AP88" s="3" t="s">
        <v>58</v>
      </c>
      <c r="AQ88" s="3" t="s">
        <v>80</v>
      </c>
      <c r="AR88" s="6" t="str">
        <f>HYPERLINK("http://catalog.hathitrust.org/Record/007132354","HathiTrust Record")</f>
        <v>HathiTrust Record</v>
      </c>
      <c r="AS88" s="6" t="str">
        <f>HYPERLINK("https://creighton-primo.hosted.exlibrisgroup.com/primo-explore/search?tab=default_tab&amp;search_scope=EVERYTHING&amp;vid=01CRU&amp;lang=en_US&amp;offset=0&amp;query=any,contains,991002567069702656","Catalog Record")</f>
        <v>Catalog Record</v>
      </c>
      <c r="AT88" s="6" t="str">
        <f>HYPERLINK("http://www.worldcat.org/oclc/33359691","WorldCat Record")</f>
        <v>WorldCat Record</v>
      </c>
      <c r="AU88" s="3" t="s">
        <v>1231</v>
      </c>
      <c r="AV88" s="3" t="s">
        <v>1232</v>
      </c>
      <c r="AW88" s="3" t="s">
        <v>1233</v>
      </c>
      <c r="AX88" s="3" t="s">
        <v>1233</v>
      </c>
      <c r="AY88" s="3" t="s">
        <v>1234</v>
      </c>
      <c r="AZ88" s="3" t="s">
        <v>74</v>
      </c>
      <c r="BB88" s="3" t="s">
        <v>1235</v>
      </c>
      <c r="BC88" s="3" t="s">
        <v>1236</v>
      </c>
      <c r="BD88" s="3" t="s">
        <v>1237</v>
      </c>
    </row>
    <row r="89" spans="1:56" ht="40.5" customHeight="1" x14ac:dyDescent="0.25">
      <c r="A89" s="7" t="s">
        <v>58</v>
      </c>
      <c r="B89" s="2" t="s">
        <v>1238</v>
      </c>
      <c r="C89" s="2" t="s">
        <v>1239</v>
      </c>
      <c r="D89" s="2" t="s">
        <v>1240</v>
      </c>
      <c r="F89" s="3" t="s">
        <v>58</v>
      </c>
      <c r="G89" s="3" t="s">
        <v>59</v>
      </c>
      <c r="H89" s="3" t="s">
        <v>58</v>
      </c>
      <c r="I89" s="3" t="s">
        <v>58</v>
      </c>
      <c r="J89" s="3" t="s">
        <v>60</v>
      </c>
      <c r="K89" s="2" t="s">
        <v>1241</v>
      </c>
      <c r="L89" s="2" t="s">
        <v>1242</v>
      </c>
      <c r="M89" s="3" t="s">
        <v>1243</v>
      </c>
      <c r="O89" s="3" t="s">
        <v>65</v>
      </c>
      <c r="P89" s="3" t="s">
        <v>169</v>
      </c>
      <c r="R89" s="3" t="s">
        <v>67</v>
      </c>
      <c r="S89" s="4">
        <v>1</v>
      </c>
      <c r="T89" s="4">
        <v>1</v>
      </c>
      <c r="U89" s="5" t="s">
        <v>1244</v>
      </c>
      <c r="V89" s="5" t="s">
        <v>1244</v>
      </c>
      <c r="W89" s="5" t="s">
        <v>1245</v>
      </c>
      <c r="X89" s="5" t="s">
        <v>1245</v>
      </c>
      <c r="Y89" s="4">
        <v>713</v>
      </c>
      <c r="Z89" s="4">
        <v>616</v>
      </c>
      <c r="AA89" s="4">
        <v>623</v>
      </c>
      <c r="AB89" s="4">
        <v>6</v>
      </c>
      <c r="AC89" s="4">
        <v>6</v>
      </c>
      <c r="AD89" s="4">
        <v>27</v>
      </c>
      <c r="AE89" s="4">
        <v>27</v>
      </c>
      <c r="AF89" s="4">
        <v>8</v>
      </c>
      <c r="AG89" s="4">
        <v>8</v>
      </c>
      <c r="AH89" s="4">
        <v>9</v>
      </c>
      <c r="AI89" s="4">
        <v>9</v>
      </c>
      <c r="AJ89" s="4">
        <v>15</v>
      </c>
      <c r="AK89" s="4">
        <v>15</v>
      </c>
      <c r="AL89" s="4">
        <v>5</v>
      </c>
      <c r="AM89" s="4">
        <v>5</v>
      </c>
      <c r="AN89" s="4">
        <v>0</v>
      </c>
      <c r="AO89" s="4">
        <v>0</v>
      </c>
      <c r="AP89" s="3" t="s">
        <v>58</v>
      </c>
      <c r="AQ89" s="3" t="s">
        <v>80</v>
      </c>
      <c r="AR89" s="6" t="str">
        <f>HYPERLINK("http://catalog.hathitrust.org/Record/000409611","HathiTrust Record")</f>
        <v>HathiTrust Record</v>
      </c>
      <c r="AS89" s="6" t="str">
        <f>HYPERLINK("https://creighton-primo.hosted.exlibrisgroup.com/primo-explore/search?tab=default_tab&amp;search_scope=EVERYTHING&amp;vid=01CRU&amp;lang=en_US&amp;offset=0&amp;query=any,contains,991000540029702656","Catalog Record")</f>
        <v>Catalog Record</v>
      </c>
      <c r="AT89" s="6" t="str">
        <f>HYPERLINK("http://www.worldcat.org/oclc/11470223","WorldCat Record")</f>
        <v>WorldCat Record</v>
      </c>
      <c r="AU89" s="3" t="s">
        <v>1246</v>
      </c>
      <c r="AV89" s="3" t="s">
        <v>1247</v>
      </c>
      <c r="AW89" s="3" t="s">
        <v>1248</v>
      </c>
      <c r="AX89" s="3" t="s">
        <v>1248</v>
      </c>
      <c r="AY89" s="3" t="s">
        <v>1249</v>
      </c>
      <c r="AZ89" s="3" t="s">
        <v>74</v>
      </c>
      <c r="BB89" s="3" t="s">
        <v>1250</v>
      </c>
      <c r="BC89" s="3" t="s">
        <v>1251</v>
      </c>
      <c r="BD89" s="3" t="s">
        <v>1252</v>
      </c>
    </row>
    <row r="90" spans="1:56" ht="40.5" customHeight="1" x14ac:dyDescent="0.25">
      <c r="A90" s="7" t="s">
        <v>58</v>
      </c>
      <c r="B90" s="2" t="s">
        <v>1253</v>
      </c>
      <c r="C90" s="2" t="s">
        <v>1254</v>
      </c>
      <c r="D90" s="2" t="s">
        <v>1255</v>
      </c>
      <c r="F90" s="3" t="s">
        <v>58</v>
      </c>
      <c r="G90" s="3" t="s">
        <v>59</v>
      </c>
      <c r="H90" s="3" t="s">
        <v>58</v>
      </c>
      <c r="I90" s="3" t="s">
        <v>58</v>
      </c>
      <c r="J90" s="3" t="s">
        <v>60</v>
      </c>
      <c r="K90" s="2" t="s">
        <v>1256</v>
      </c>
      <c r="L90" s="2" t="s">
        <v>1257</v>
      </c>
      <c r="M90" s="3" t="s">
        <v>1213</v>
      </c>
      <c r="N90" s="2" t="s">
        <v>213</v>
      </c>
      <c r="O90" s="3" t="s">
        <v>65</v>
      </c>
      <c r="P90" s="3" t="s">
        <v>155</v>
      </c>
      <c r="Q90" s="2" t="s">
        <v>1258</v>
      </c>
      <c r="R90" s="3" t="s">
        <v>67</v>
      </c>
      <c r="S90" s="4">
        <v>1</v>
      </c>
      <c r="T90" s="4">
        <v>1</v>
      </c>
      <c r="U90" s="5" t="s">
        <v>1259</v>
      </c>
      <c r="V90" s="5" t="s">
        <v>1259</v>
      </c>
      <c r="W90" s="5" t="s">
        <v>1260</v>
      </c>
      <c r="X90" s="5" t="s">
        <v>1260</v>
      </c>
      <c r="Y90" s="4">
        <v>162</v>
      </c>
      <c r="Z90" s="4">
        <v>80</v>
      </c>
      <c r="AA90" s="4">
        <v>393</v>
      </c>
      <c r="AB90" s="4">
        <v>1</v>
      </c>
      <c r="AC90" s="4">
        <v>2</v>
      </c>
      <c r="AD90" s="4">
        <v>6</v>
      </c>
      <c r="AE90" s="4">
        <v>20</v>
      </c>
      <c r="AF90" s="4">
        <v>3</v>
      </c>
      <c r="AG90" s="4">
        <v>8</v>
      </c>
      <c r="AH90" s="4">
        <v>1</v>
      </c>
      <c r="AI90" s="4">
        <v>7</v>
      </c>
      <c r="AJ90" s="4">
        <v>3</v>
      </c>
      <c r="AK90" s="4">
        <v>12</v>
      </c>
      <c r="AL90" s="4">
        <v>0</v>
      </c>
      <c r="AM90" s="4">
        <v>1</v>
      </c>
      <c r="AN90" s="4">
        <v>0</v>
      </c>
      <c r="AO90" s="4">
        <v>0</v>
      </c>
      <c r="AP90" s="3" t="s">
        <v>58</v>
      </c>
      <c r="AQ90" s="3" t="s">
        <v>80</v>
      </c>
      <c r="AR90" s="6" t="str">
        <f>HYPERLINK("http://catalog.hathitrust.org/Record/007252136","HathiTrust Record")</f>
        <v>HathiTrust Record</v>
      </c>
      <c r="AS90" s="6" t="str">
        <f>HYPERLINK("https://creighton-primo.hosted.exlibrisgroup.com/primo-explore/search?tab=default_tab&amp;search_scope=EVERYTHING&amp;vid=01CRU&amp;lang=en_US&amp;offset=0&amp;query=any,contains,991004791199702656","Catalog Record")</f>
        <v>Catalog Record</v>
      </c>
      <c r="AT90" s="6" t="str">
        <f>HYPERLINK("http://www.worldcat.org/oclc/51861955","WorldCat Record")</f>
        <v>WorldCat Record</v>
      </c>
      <c r="AU90" s="3" t="s">
        <v>1261</v>
      </c>
      <c r="AV90" s="3" t="s">
        <v>1262</v>
      </c>
      <c r="AW90" s="3" t="s">
        <v>1263</v>
      </c>
      <c r="AX90" s="3" t="s">
        <v>1263</v>
      </c>
      <c r="AY90" s="3" t="s">
        <v>1264</v>
      </c>
      <c r="AZ90" s="3" t="s">
        <v>74</v>
      </c>
      <c r="BB90" s="3" t="s">
        <v>1265</v>
      </c>
      <c r="BC90" s="3" t="s">
        <v>1266</v>
      </c>
      <c r="BD90" s="3" t="s">
        <v>1267</v>
      </c>
    </row>
    <row r="91" spans="1:56" ht="40.5" customHeight="1" x14ac:dyDescent="0.25">
      <c r="A91" s="7" t="s">
        <v>58</v>
      </c>
      <c r="B91" s="2" t="s">
        <v>1268</v>
      </c>
      <c r="C91" s="2" t="s">
        <v>1269</v>
      </c>
      <c r="D91" s="2" t="s">
        <v>1270</v>
      </c>
      <c r="F91" s="3" t="s">
        <v>58</v>
      </c>
      <c r="G91" s="3" t="s">
        <v>59</v>
      </c>
      <c r="H91" s="3" t="s">
        <v>58</v>
      </c>
      <c r="I91" s="3" t="s">
        <v>58</v>
      </c>
      <c r="J91" s="3" t="s">
        <v>60</v>
      </c>
      <c r="K91" s="2" t="s">
        <v>1271</v>
      </c>
      <c r="L91" s="2" t="s">
        <v>1272</v>
      </c>
      <c r="M91" s="3" t="s">
        <v>1021</v>
      </c>
      <c r="O91" s="3" t="s">
        <v>65</v>
      </c>
      <c r="P91" s="3" t="s">
        <v>66</v>
      </c>
      <c r="Q91" s="2" t="s">
        <v>1273</v>
      </c>
      <c r="R91" s="3" t="s">
        <v>67</v>
      </c>
      <c r="S91" s="4">
        <v>0</v>
      </c>
      <c r="T91" s="4">
        <v>0</v>
      </c>
      <c r="U91" s="5" t="s">
        <v>1274</v>
      </c>
      <c r="V91" s="5" t="s">
        <v>1274</v>
      </c>
      <c r="W91" s="5" t="s">
        <v>1275</v>
      </c>
      <c r="X91" s="5" t="s">
        <v>1275</v>
      </c>
      <c r="Y91" s="4">
        <v>124</v>
      </c>
      <c r="Z91" s="4">
        <v>104</v>
      </c>
      <c r="AA91" s="4">
        <v>461</v>
      </c>
      <c r="AB91" s="4">
        <v>1</v>
      </c>
      <c r="AC91" s="4">
        <v>4</v>
      </c>
      <c r="AD91" s="4">
        <v>2</v>
      </c>
      <c r="AE91" s="4">
        <v>12</v>
      </c>
      <c r="AF91" s="4">
        <v>1</v>
      </c>
      <c r="AG91" s="4">
        <v>5</v>
      </c>
      <c r="AH91" s="4">
        <v>0</v>
      </c>
      <c r="AI91" s="4">
        <v>3</v>
      </c>
      <c r="AJ91" s="4">
        <v>1</v>
      </c>
      <c r="AK91" s="4">
        <v>3</v>
      </c>
      <c r="AL91" s="4">
        <v>0</v>
      </c>
      <c r="AM91" s="4">
        <v>3</v>
      </c>
      <c r="AN91" s="4">
        <v>0</v>
      </c>
      <c r="AO91" s="4">
        <v>0</v>
      </c>
      <c r="AP91" s="3" t="s">
        <v>58</v>
      </c>
      <c r="AQ91" s="3" t="s">
        <v>58</v>
      </c>
      <c r="AS91" s="6" t="str">
        <f>HYPERLINK("https://creighton-primo.hosted.exlibrisgroup.com/primo-explore/search?tab=default_tab&amp;search_scope=EVERYTHING&amp;vid=01CRU&amp;lang=en_US&amp;offset=0&amp;query=any,contains,991003061229702656","Catalog Record")</f>
        <v>Catalog Record</v>
      </c>
      <c r="AT91" s="6" t="str">
        <f>HYPERLINK("http://www.worldcat.org/oclc/618355","WorldCat Record")</f>
        <v>WorldCat Record</v>
      </c>
      <c r="AU91" s="3" t="s">
        <v>1276</v>
      </c>
      <c r="AV91" s="3" t="s">
        <v>1277</v>
      </c>
      <c r="AW91" s="3" t="s">
        <v>1278</v>
      </c>
      <c r="AX91" s="3" t="s">
        <v>1278</v>
      </c>
      <c r="AY91" s="3" t="s">
        <v>1279</v>
      </c>
      <c r="AZ91" s="3" t="s">
        <v>74</v>
      </c>
      <c r="BB91" s="3" t="s">
        <v>1280</v>
      </c>
      <c r="BC91" s="3" t="s">
        <v>1281</v>
      </c>
      <c r="BD91" s="3" t="s">
        <v>1282</v>
      </c>
    </row>
    <row r="92" spans="1:56" ht="40.5" customHeight="1" x14ac:dyDescent="0.25">
      <c r="A92" s="7" t="s">
        <v>58</v>
      </c>
      <c r="B92" s="2" t="s">
        <v>1283</v>
      </c>
      <c r="C92" s="2" t="s">
        <v>1284</v>
      </c>
      <c r="D92" s="2" t="s">
        <v>1285</v>
      </c>
      <c r="F92" s="3" t="s">
        <v>58</v>
      </c>
      <c r="G92" s="3" t="s">
        <v>59</v>
      </c>
      <c r="H92" s="3" t="s">
        <v>58</v>
      </c>
      <c r="I92" s="3" t="s">
        <v>58</v>
      </c>
      <c r="J92" s="3" t="s">
        <v>60</v>
      </c>
      <c r="K92" s="2" t="s">
        <v>1286</v>
      </c>
      <c r="L92" s="2" t="s">
        <v>1287</v>
      </c>
      <c r="M92" s="3" t="s">
        <v>646</v>
      </c>
      <c r="O92" s="3" t="s">
        <v>65</v>
      </c>
      <c r="P92" s="3" t="s">
        <v>66</v>
      </c>
      <c r="Q92" s="2" t="s">
        <v>1288</v>
      </c>
      <c r="R92" s="3" t="s">
        <v>67</v>
      </c>
      <c r="S92" s="4">
        <v>0</v>
      </c>
      <c r="T92" s="4">
        <v>0</v>
      </c>
      <c r="U92" s="5" t="s">
        <v>1289</v>
      </c>
      <c r="V92" s="5" t="s">
        <v>1289</v>
      </c>
      <c r="W92" s="5" t="s">
        <v>1275</v>
      </c>
      <c r="X92" s="5" t="s">
        <v>1275</v>
      </c>
      <c r="Y92" s="4">
        <v>76</v>
      </c>
      <c r="Z92" s="4">
        <v>70</v>
      </c>
      <c r="AA92" s="4">
        <v>133</v>
      </c>
      <c r="AB92" s="4">
        <v>3</v>
      </c>
      <c r="AC92" s="4">
        <v>3</v>
      </c>
      <c r="AD92" s="4">
        <v>3</v>
      </c>
      <c r="AE92" s="4">
        <v>5</v>
      </c>
      <c r="AF92" s="4">
        <v>0</v>
      </c>
      <c r="AG92" s="4">
        <v>0</v>
      </c>
      <c r="AH92" s="4">
        <v>1</v>
      </c>
      <c r="AI92" s="4">
        <v>3</v>
      </c>
      <c r="AJ92" s="4">
        <v>1</v>
      </c>
      <c r="AK92" s="4">
        <v>2</v>
      </c>
      <c r="AL92" s="4">
        <v>2</v>
      </c>
      <c r="AM92" s="4">
        <v>2</v>
      </c>
      <c r="AN92" s="4">
        <v>0</v>
      </c>
      <c r="AO92" s="4">
        <v>0</v>
      </c>
      <c r="AP92" s="3" t="s">
        <v>58</v>
      </c>
      <c r="AQ92" s="3" t="s">
        <v>58</v>
      </c>
      <c r="AS92" s="6" t="str">
        <f>HYPERLINK("https://creighton-primo.hosted.exlibrisgroup.com/primo-explore/search?tab=default_tab&amp;search_scope=EVERYTHING&amp;vid=01CRU&amp;lang=en_US&amp;offset=0&amp;query=any,contains,991003635899702656","Catalog Record")</f>
        <v>Catalog Record</v>
      </c>
      <c r="AT92" s="6" t="str">
        <f>HYPERLINK("http://www.worldcat.org/oclc/1230529","WorldCat Record")</f>
        <v>WorldCat Record</v>
      </c>
      <c r="AU92" s="3" t="s">
        <v>1290</v>
      </c>
      <c r="AV92" s="3" t="s">
        <v>1291</v>
      </c>
      <c r="AW92" s="3" t="s">
        <v>1292</v>
      </c>
      <c r="AX92" s="3" t="s">
        <v>1292</v>
      </c>
      <c r="AY92" s="3" t="s">
        <v>1293</v>
      </c>
      <c r="AZ92" s="3" t="s">
        <v>74</v>
      </c>
      <c r="BB92" s="3" t="s">
        <v>1294</v>
      </c>
      <c r="BC92" s="3" t="s">
        <v>1295</v>
      </c>
      <c r="BD92" s="3" t="s">
        <v>1296</v>
      </c>
    </row>
    <row r="93" spans="1:56" ht="40.5" customHeight="1" x14ac:dyDescent="0.25">
      <c r="A93" s="7" t="s">
        <v>58</v>
      </c>
      <c r="B93" s="2" t="s">
        <v>1297</v>
      </c>
      <c r="C93" s="2" t="s">
        <v>1298</v>
      </c>
      <c r="D93" s="2" t="s">
        <v>1299</v>
      </c>
      <c r="F93" s="3" t="s">
        <v>58</v>
      </c>
      <c r="G93" s="3" t="s">
        <v>59</v>
      </c>
      <c r="H93" s="3" t="s">
        <v>58</v>
      </c>
      <c r="I93" s="3" t="s">
        <v>58</v>
      </c>
      <c r="J93" s="3" t="s">
        <v>60</v>
      </c>
      <c r="K93" s="2" t="s">
        <v>1300</v>
      </c>
      <c r="L93" s="2" t="s">
        <v>1301</v>
      </c>
      <c r="M93" s="3" t="s">
        <v>258</v>
      </c>
      <c r="N93" s="2" t="s">
        <v>197</v>
      </c>
      <c r="O93" s="3" t="s">
        <v>65</v>
      </c>
      <c r="P93" s="3" t="s">
        <v>112</v>
      </c>
      <c r="R93" s="3" t="s">
        <v>67</v>
      </c>
      <c r="S93" s="4">
        <v>1</v>
      </c>
      <c r="T93" s="4">
        <v>1</v>
      </c>
      <c r="U93" s="5" t="s">
        <v>1302</v>
      </c>
      <c r="V93" s="5" t="s">
        <v>1302</v>
      </c>
      <c r="W93" s="5" t="s">
        <v>1302</v>
      </c>
      <c r="X93" s="5" t="s">
        <v>1302</v>
      </c>
      <c r="Y93" s="4">
        <v>224</v>
      </c>
      <c r="Z93" s="4">
        <v>168</v>
      </c>
      <c r="AA93" s="4">
        <v>282</v>
      </c>
      <c r="AB93" s="4">
        <v>1</v>
      </c>
      <c r="AC93" s="4">
        <v>3</v>
      </c>
      <c r="AD93" s="4">
        <v>11</v>
      </c>
      <c r="AE93" s="4">
        <v>21</v>
      </c>
      <c r="AF93" s="4">
        <v>5</v>
      </c>
      <c r="AG93" s="4">
        <v>9</v>
      </c>
      <c r="AH93" s="4">
        <v>3</v>
      </c>
      <c r="AI93" s="4">
        <v>6</v>
      </c>
      <c r="AJ93" s="4">
        <v>7</v>
      </c>
      <c r="AK93" s="4">
        <v>12</v>
      </c>
      <c r="AL93" s="4">
        <v>0</v>
      </c>
      <c r="AM93" s="4">
        <v>2</v>
      </c>
      <c r="AN93" s="4">
        <v>0</v>
      </c>
      <c r="AO93" s="4">
        <v>0</v>
      </c>
      <c r="AP93" s="3" t="s">
        <v>58</v>
      </c>
      <c r="AQ93" s="3" t="s">
        <v>58</v>
      </c>
      <c r="AS93" s="6" t="str">
        <f>HYPERLINK("https://creighton-primo.hosted.exlibrisgroup.com/primo-explore/search?tab=default_tab&amp;search_scope=EVERYTHING&amp;vid=01CRU&amp;lang=en_US&amp;offset=0&amp;query=any,contains,991005398089702656","Catalog Record")</f>
        <v>Catalog Record</v>
      </c>
      <c r="AT93" s="6" t="str">
        <f>HYPERLINK("http://www.worldcat.org/oclc/46314922","WorldCat Record")</f>
        <v>WorldCat Record</v>
      </c>
      <c r="AU93" s="3" t="s">
        <v>1303</v>
      </c>
      <c r="AV93" s="3" t="s">
        <v>1304</v>
      </c>
      <c r="AW93" s="3" t="s">
        <v>1305</v>
      </c>
      <c r="AX93" s="3" t="s">
        <v>1305</v>
      </c>
      <c r="AY93" s="3" t="s">
        <v>1306</v>
      </c>
      <c r="AZ93" s="3" t="s">
        <v>74</v>
      </c>
      <c r="BB93" s="3" t="s">
        <v>1307</v>
      </c>
      <c r="BC93" s="3" t="s">
        <v>1308</v>
      </c>
      <c r="BD93" s="3" t="s">
        <v>1309</v>
      </c>
    </row>
    <row r="94" spans="1:56" ht="40.5" customHeight="1" x14ac:dyDescent="0.25">
      <c r="A94" s="7" t="s">
        <v>58</v>
      </c>
      <c r="B94" s="2" t="s">
        <v>1310</v>
      </c>
      <c r="C94" s="2" t="s">
        <v>1311</v>
      </c>
      <c r="D94" s="2" t="s">
        <v>1312</v>
      </c>
      <c r="F94" s="3" t="s">
        <v>58</v>
      </c>
      <c r="G94" s="3" t="s">
        <v>59</v>
      </c>
      <c r="H94" s="3" t="s">
        <v>58</v>
      </c>
      <c r="I94" s="3" t="s">
        <v>58</v>
      </c>
      <c r="J94" s="3" t="s">
        <v>60</v>
      </c>
      <c r="K94" s="2" t="s">
        <v>1313</v>
      </c>
      <c r="M94" s="3" t="s">
        <v>154</v>
      </c>
      <c r="N94" s="2" t="s">
        <v>84</v>
      </c>
      <c r="O94" s="3" t="s">
        <v>65</v>
      </c>
      <c r="P94" s="3" t="s">
        <v>1314</v>
      </c>
      <c r="R94" s="3" t="s">
        <v>67</v>
      </c>
      <c r="S94" s="4">
        <v>0</v>
      </c>
      <c r="T94" s="4">
        <v>0</v>
      </c>
      <c r="U94" s="5" t="s">
        <v>1315</v>
      </c>
      <c r="V94" s="5" t="s">
        <v>1315</v>
      </c>
      <c r="W94" s="5" t="s">
        <v>1316</v>
      </c>
      <c r="X94" s="5" t="s">
        <v>1316</v>
      </c>
      <c r="Y94" s="4">
        <v>10</v>
      </c>
      <c r="Z94" s="4">
        <v>9</v>
      </c>
      <c r="AA94" s="4">
        <v>9</v>
      </c>
      <c r="AB94" s="4">
        <v>1</v>
      </c>
      <c r="AC94" s="4">
        <v>1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3" t="s">
        <v>58</v>
      </c>
      <c r="AQ94" s="3" t="s">
        <v>58</v>
      </c>
      <c r="AS94" s="6" t="str">
        <f>HYPERLINK("https://creighton-primo.hosted.exlibrisgroup.com/primo-explore/search?tab=default_tab&amp;search_scope=EVERYTHING&amp;vid=01CRU&amp;lang=en_US&amp;offset=0&amp;query=any,contains,991000909529702656","Catalog Record")</f>
        <v>Catalog Record</v>
      </c>
      <c r="AT94" s="6" t="str">
        <f>HYPERLINK("http://www.worldcat.org/oclc/159116","WorldCat Record")</f>
        <v>WorldCat Record</v>
      </c>
      <c r="AU94" s="3" t="s">
        <v>1317</v>
      </c>
      <c r="AV94" s="3" t="s">
        <v>1318</v>
      </c>
      <c r="AW94" s="3" t="s">
        <v>1319</v>
      </c>
      <c r="AX94" s="3" t="s">
        <v>1319</v>
      </c>
      <c r="AY94" s="3" t="s">
        <v>1320</v>
      </c>
      <c r="AZ94" s="3" t="s">
        <v>74</v>
      </c>
      <c r="BB94" s="3" t="s">
        <v>1321</v>
      </c>
      <c r="BC94" s="3" t="s">
        <v>1322</v>
      </c>
      <c r="BD94" s="3" t="s">
        <v>1323</v>
      </c>
    </row>
    <row r="95" spans="1:56" ht="40.5" customHeight="1" x14ac:dyDescent="0.25">
      <c r="A95" s="7" t="s">
        <v>58</v>
      </c>
      <c r="B95" s="2" t="s">
        <v>1324</v>
      </c>
      <c r="C95" s="2" t="s">
        <v>1325</v>
      </c>
      <c r="D95" s="2" t="s">
        <v>1326</v>
      </c>
      <c r="F95" s="3" t="s">
        <v>58</v>
      </c>
      <c r="G95" s="3" t="s">
        <v>59</v>
      </c>
      <c r="H95" s="3" t="s">
        <v>58</v>
      </c>
      <c r="I95" s="3" t="s">
        <v>58</v>
      </c>
      <c r="J95" s="3" t="s">
        <v>60</v>
      </c>
      <c r="K95" s="2" t="s">
        <v>1327</v>
      </c>
      <c r="L95" s="2" t="s">
        <v>1328</v>
      </c>
      <c r="M95" s="3" t="s">
        <v>1329</v>
      </c>
      <c r="O95" s="3" t="s">
        <v>65</v>
      </c>
      <c r="P95" s="3" t="s">
        <v>66</v>
      </c>
      <c r="Q95" s="2" t="s">
        <v>1330</v>
      </c>
      <c r="R95" s="3" t="s">
        <v>67</v>
      </c>
      <c r="S95" s="4">
        <v>1</v>
      </c>
      <c r="T95" s="4">
        <v>1</v>
      </c>
      <c r="U95" s="5" t="s">
        <v>1331</v>
      </c>
      <c r="V95" s="5" t="s">
        <v>1331</v>
      </c>
      <c r="W95" s="5" t="s">
        <v>1275</v>
      </c>
      <c r="X95" s="5" t="s">
        <v>1275</v>
      </c>
      <c r="Y95" s="4">
        <v>443</v>
      </c>
      <c r="Z95" s="4">
        <v>358</v>
      </c>
      <c r="AA95" s="4">
        <v>364</v>
      </c>
      <c r="AB95" s="4">
        <v>2</v>
      </c>
      <c r="AC95" s="4">
        <v>2</v>
      </c>
      <c r="AD95" s="4">
        <v>20</v>
      </c>
      <c r="AE95" s="4">
        <v>20</v>
      </c>
      <c r="AF95" s="4">
        <v>9</v>
      </c>
      <c r="AG95" s="4">
        <v>9</v>
      </c>
      <c r="AH95" s="4">
        <v>3</v>
      </c>
      <c r="AI95" s="4">
        <v>3</v>
      </c>
      <c r="AJ95" s="4">
        <v>13</v>
      </c>
      <c r="AK95" s="4">
        <v>13</v>
      </c>
      <c r="AL95" s="4">
        <v>1</v>
      </c>
      <c r="AM95" s="4">
        <v>1</v>
      </c>
      <c r="AN95" s="4">
        <v>0</v>
      </c>
      <c r="AO95" s="4">
        <v>0</v>
      </c>
      <c r="AP95" s="3" t="s">
        <v>58</v>
      </c>
      <c r="AQ95" s="3" t="s">
        <v>58</v>
      </c>
      <c r="AS95" s="6" t="str">
        <f>HYPERLINK("https://creighton-primo.hosted.exlibrisgroup.com/primo-explore/search?tab=default_tab&amp;search_scope=EVERYTHING&amp;vid=01CRU&amp;lang=en_US&amp;offset=0&amp;query=any,contains,991000623939702656","Catalog Record")</f>
        <v>Catalog Record</v>
      </c>
      <c r="AT95" s="6" t="str">
        <f>HYPERLINK("http://www.worldcat.org/oclc/103367","WorldCat Record")</f>
        <v>WorldCat Record</v>
      </c>
      <c r="AU95" s="3" t="s">
        <v>1332</v>
      </c>
      <c r="AV95" s="3" t="s">
        <v>1333</v>
      </c>
      <c r="AW95" s="3" t="s">
        <v>1334</v>
      </c>
      <c r="AX95" s="3" t="s">
        <v>1334</v>
      </c>
      <c r="AY95" s="3" t="s">
        <v>1335</v>
      </c>
      <c r="AZ95" s="3" t="s">
        <v>74</v>
      </c>
      <c r="BB95" s="3" t="s">
        <v>1336</v>
      </c>
      <c r="BC95" s="3" t="s">
        <v>1337</v>
      </c>
      <c r="BD95" s="3" t="s">
        <v>1338</v>
      </c>
    </row>
    <row r="96" spans="1:56" ht="40.5" customHeight="1" x14ac:dyDescent="0.25">
      <c r="A96" s="7" t="s">
        <v>58</v>
      </c>
      <c r="B96" s="2" t="s">
        <v>1339</v>
      </c>
      <c r="C96" s="2" t="s">
        <v>1340</v>
      </c>
      <c r="D96" s="2" t="s">
        <v>1341</v>
      </c>
      <c r="F96" s="3" t="s">
        <v>58</v>
      </c>
      <c r="G96" s="3" t="s">
        <v>59</v>
      </c>
      <c r="H96" s="3" t="s">
        <v>58</v>
      </c>
      <c r="I96" s="3" t="s">
        <v>58</v>
      </c>
      <c r="J96" s="3" t="s">
        <v>60</v>
      </c>
      <c r="K96" s="2" t="s">
        <v>1342</v>
      </c>
      <c r="L96" s="2" t="s">
        <v>1343</v>
      </c>
      <c r="M96" s="3" t="s">
        <v>587</v>
      </c>
      <c r="O96" s="3" t="s">
        <v>65</v>
      </c>
      <c r="P96" s="3" t="s">
        <v>66</v>
      </c>
      <c r="R96" s="3" t="s">
        <v>67</v>
      </c>
      <c r="S96" s="4">
        <v>1</v>
      </c>
      <c r="T96" s="4">
        <v>1</v>
      </c>
      <c r="U96" s="5" t="s">
        <v>1344</v>
      </c>
      <c r="V96" s="5" t="s">
        <v>1344</v>
      </c>
      <c r="W96" s="5" t="s">
        <v>1345</v>
      </c>
      <c r="X96" s="5" t="s">
        <v>1345</v>
      </c>
      <c r="Y96" s="4">
        <v>502</v>
      </c>
      <c r="Z96" s="4">
        <v>459</v>
      </c>
      <c r="AA96" s="4">
        <v>844</v>
      </c>
      <c r="AB96" s="4">
        <v>3</v>
      </c>
      <c r="AC96" s="4">
        <v>28</v>
      </c>
      <c r="AD96" s="4">
        <v>24</v>
      </c>
      <c r="AE96" s="4">
        <v>42</v>
      </c>
      <c r="AF96" s="4">
        <v>10</v>
      </c>
      <c r="AG96" s="4">
        <v>14</v>
      </c>
      <c r="AH96" s="4">
        <v>6</v>
      </c>
      <c r="AI96" s="4">
        <v>7</v>
      </c>
      <c r="AJ96" s="4">
        <v>10</v>
      </c>
      <c r="AK96" s="4">
        <v>14</v>
      </c>
      <c r="AL96" s="4">
        <v>2</v>
      </c>
      <c r="AM96" s="4">
        <v>13</v>
      </c>
      <c r="AN96" s="4">
        <v>1</v>
      </c>
      <c r="AO96" s="4">
        <v>1</v>
      </c>
      <c r="AP96" s="3" t="s">
        <v>58</v>
      </c>
      <c r="AQ96" s="3" t="s">
        <v>58</v>
      </c>
      <c r="AS96" s="6" t="str">
        <f>HYPERLINK("https://creighton-primo.hosted.exlibrisgroup.com/primo-explore/search?tab=default_tab&amp;search_scope=EVERYTHING&amp;vid=01CRU&amp;lang=en_US&amp;offset=0&amp;query=any,contains,991003537729702656","Catalog Record")</f>
        <v>Catalog Record</v>
      </c>
      <c r="AT96" s="6" t="str">
        <f>HYPERLINK("http://www.worldcat.org/oclc/46343343","WorldCat Record")</f>
        <v>WorldCat Record</v>
      </c>
      <c r="AU96" s="3" t="s">
        <v>1346</v>
      </c>
      <c r="AV96" s="3" t="s">
        <v>1347</v>
      </c>
      <c r="AW96" s="3" t="s">
        <v>1348</v>
      </c>
      <c r="AX96" s="3" t="s">
        <v>1348</v>
      </c>
      <c r="AY96" s="3" t="s">
        <v>1349</v>
      </c>
      <c r="AZ96" s="3" t="s">
        <v>74</v>
      </c>
      <c r="BB96" s="3" t="s">
        <v>1350</v>
      </c>
      <c r="BC96" s="3" t="s">
        <v>1351</v>
      </c>
      <c r="BD96" s="3" t="s">
        <v>1352</v>
      </c>
    </row>
    <row r="97" spans="1:56" ht="40.5" customHeight="1" x14ac:dyDescent="0.25">
      <c r="A97" s="7" t="s">
        <v>58</v>
      </c>
      <c r="B97" s="2" t="s">
        <v>1353</v>
      </c>
      <c r="C97" s="2" t="s">
        <v>1354</v>
      </c>
      <c r="D97" s="2" t="s">
        <v>1355</v>
      </c>
      <c r="F97" s="3" t="s">
        <v>58</v>
      </c>
      <c r="G97" s="3" t="s">
        <v>59</v>
      </c>
      <c r="H97" s="3" t="s">
        <v>58</v>
      </c>
      <c r="I97" s="3" t="s">
        <v>58</v>
      </c>
      <c r="J97" s="3" t="s">
        <v>60</v>
      </c>
      <c r="K97" s="2" t="s">
        <v>1356</v>
      </c>
      <c r="L97" s="2" t="s">
        <v>1357</v>
      </c>
      <c r="M97" s="3" t="s">
        <v>1358</v>
      </c>
      <c r="O97" s="3" t="s">
        <v>65</v>
      </c>
      <c r="P97" s="3" t="s">
        <v>1359</v>
      </c>
      <c r="Q97" s="2" t="s">
        <v>1360</v>
      </c>
      <c r="R97" s="3" t="s">
        <v>67</v>
      </c>
      <c r="S97" s="4">
        <v>1</v>
      </c>
      <c r="T97" s="4">
        <v>1</v>
      </c>
      <c r="U97" s="5" t="s">
        <v>1361</v>
      </c>
      <c r="V97" s="5" t="s">
        <v>1361</v>
      </c>
      <c r="W97" s="5" t="s">
        <v>812</v>
      </c>
      <c r="X97" s="5" t="s">
        <v>812</v>
      </c>
      <c r="Y97" s="4">
        <v>311</v>
      </c>
      <c r="Z97" s="4">
        <v>241</v>
      </c>
      <c r="AA97" s="4">
        <v>244</v>
      </c>
      <c r="AB97" s="4">
        <v>2</v>
      </c>
      <c r="AC97" s="4">
        <v>2</v>
      </c>
      <c r="AD97" s="4">
        <v>15</v>
      </c>
      <c r="AE97" s="4">
        <v>15</v>
      </c>
      <c r="AF97" s="4">
        <v>5</v>
      </c>
      <c r="AG97" s="4">
        <v>5</v>
      </c>
      <c r="AH97" s="4">
        <v>4</v>
      </c>
      <c r="AI97" s="4">
        <v>4</v>
      </c>
      <c r="AJ97" s="4">
        <v>11</v>
      </c>
      <c r="AK97" s="4">
        <v>11</v>
      </c>
      <c r="AL97" s="4">
        <v>1</v>
      </c>
      <c r="AM97" s="4">
        <v>1</v>
      </c>
      <c r="AN97" s="4">
        <v>0</v>
      </c>
      <c r="AO97" s="4">
        <v>0</v>
      </c>
      <c r="AP97" s="3" t="s">
        <v>58</v>
      </c>
      <c r="AQ97" s="3" t="s">
        <v>58</v>
      </c>
      <c r="AR97" s="6" t="str">
        <f>HYPERLINK("http://catalog.hathitrust.org/Record/001118608","HathiTrust Record")</f>
        <v>HathiTrust Record</v>
      </c>
      <c r="AS97" s="6" t="str">
        <f>HYPERLINK("https://creighton-primo.hosted.exlibrisgroup.com/primo-explore/search?tab=default_tab&amp;search_scope=EVERYTHING&amp;vid=01CRU&amp;lang=en_US&amp;offset=0&amp;query=any,contains,991003864699702656","Catalog Record")</f>
        <v>Catalog Record</v>
      </c>
      <c r="AT97" s="6" t="str">
        <f>HYPERLINK("http://www.worldcat.org/oclc/1675471","WorldCat Record")</f>
        <v>WorldCat Record</v>
      </c>
      <c r="AU97" s="3" t="s">
        <v>1362</v>
      </c>
      <c r="AV97" s="3" t="s">
        <v>1363</v>
      </c>
      <c r="AW97" s="3" t="s">
        <v>1364</v>
      </c>
      <c r="AX97" s="3" t="s">
        <v>1364</v>
      </c>
      <c r="AY97" s="3" t="s">
        <v>1365</v>
      </c>
      <c r="AZ97" s="3" t="s">
        <v>74</v>
      </c>
      <c r="BC97" s="3" t="s">
        <v>1366</v>
      </c>
      <c r="BD97" s="3" t="s">
        <v>1367</v>
      </c>
    </row>
    <row r="98" spans="1:56" ht="40.5" customHeight="1" x14ac:dyDescent="0.25">
      <c r="A98" s="7" t="s">
        <v>58</v>
      </c>
      <c r="B98" s="2" t="s">
        <v>1368</v>
      </c>
      <c r="C98" s="2" t="s">
        <v>1369</v>
      </c>
      <c r="D98" s="2" t="s">
        <v>1370</v>
      </c>
      <c r="F98" s="3" t="s">
        <v>58</v>
      </c>
      <c r="G98" s="3" t="s">
        <v>59</v>
      </c>
      <c r="H98" s="3" t="s">
        <v>58</v>
      </c>
      <c r="I98" s="3" t="s">
        <v>58</v>
      </c>
      <c r="J98" s="3" t="s">
        <v>60</v>
      </c>
      <c r="K98" s="2" t="s">
        <v>1371</v>
      </c>
      <c r="L98" s="2" t="s">
        <v>1372</v>
      </c>
      <c r="M98" s="3" t="s">
        <v>839</v>
      </c>
      <c r="O98" s="3" t="s">
        <v>65</v>
      </c>
      <c r="P98" s="3" t="s">
        <v>66</v>
      </c>
      <c r="R98" s="3" t="s">
        <v>67</v>
      </c>
      <c r="S98" s="4">
        <v>1</v>
      </c>
      <c r="T98" s="4">
        <v>1</v>
      </c>
      <c r="U98" s="5" t="s">
        <v>1373</v>
      </c>
      <c r="V98" s="5" t="s">
        <v>1373</v>
      </c>
      <c r="W98" s="5" t="s">
        <v>1374</v>
      </c>
      <c r="X98" s="5" t="s">
        <v>1374</v>
      </c>
      <c r="Y98" s="4">
        <v>661</v>
      </c>
      <c r="Z98" s="4">
        <v>558</v>
      </c>
      <c r="AA98" s="4">
        <v>565</v>
      </c>
      <c r="AB98" s="4">
        <v>3</v>
      </c>
      <c r="AC98" s="4">
        <v>3</v>
      </c>
      <c r="AD98" s="4">
        <v>30</v>
      </c>
      <c r="AE98" s="4">
        <v>30</v>
      </c>
      <c r="AF98" s="4">
        <v>9</v>
      </c>
      <c r="AG98" s="4">
        <v>9</v>
      </c>
      <c r="AH98" s="4">
        <v>7</v>
      </c>
      <c r="AI98" s="4">
        <v>7</v>
      </c>
      <c r="AJ98" s="4">
        <v>18</v>
      </c>
      <c r="AK98" s="4">
        <v>18</v>
      </c>
      <c r="AL98" s="4">
        <v>2</v>
      </c>
      <c r="AM98" s="4">
        <v>2</v>
      </c>
      <c r="AN98" s="4">
        <v>0</v>
      </c>
      <c r="AO98" s="4">
        <v>0</v>
      </c>
      <c r="AP98" s="3" t="s">
        <v>58</v>
      </c>
      <c r="AQ98" s="3" t="s">
        <v>80</v>
      </c>
      <c r="AR98" s="6" t="str">
        <f>HYPERLINK("http://catalog.hathitrust.org/Record/001126623","HathiTrust Record")</f>
        <v>HathiTrust Record</v>
      </c>
      <c r="AS98" s="6" t="str">
        <f>HYPERLINK("https://creighton-primo.hosted.exlibrisgroup.com/primo-explore/search?tab=default_tab&amp;search_scope=EVERYTHING&amp;vid=01CRU&amp;lang=en_US&amp;offset=0&amp;query=any,contains,991001925299702656","Catalog Record")</f>
        <v>Catalog Record</v>
      </c>
      <c r="AT98" s="6" t="str">
        <f>HYPERLINK("http://www.worldcat.org/oclc/246235","WorldCat Record")</f>
        <v>WorldCat Record</v>
      </c>
      <c r="AU98" s="3" t="s">
        <v>1375</v>
      </c>
      <c r="AV98" s="3" t="s">
        <v>1376</v>
      </c>
      <c r="AW98" s="3" t="s">
        <v>1377</v>
      </c>
      <c r="AX98" s="3" t="s">
        <v>1377</v>
      </c>
      <c r="AY98" s="3" t="s">
        <v>1378</v>
      </c>
      <c r="AZ98" s="3" t="s">
        <v>74</v>
      </c>
      <c r="BC98" s="3" t="s">
        <v>1379</v>
      </c>
      <c r="BD98" s="3" t="s">
        <v>1380</v>
      </c>
    </row>
    <row r="99" spans="1:56" ht="40.5" customHeight="1" x14ac:dyDescent="0.25">
      <c r="A99" s="7" t="s">
        <v>58</v>
      </c>
      <c r="B99" s="2" t="s">
        <v>1381</v>
      </c>
      <c r="C99" s="2" t="s">
        <v>1382</v>
      </c>
      <c r="D99" s="2" t="s">
        <v>1383</v>
      </c>
      <c r="F99" s="3" t="s">
        <v>58</v>
      </c>
      <c r="G99" s="3" t="s">
        <v>59</v>
      </c>
      <c r="H99" s="3" t="s">
        <v>58</v>
      </c>
      <c r="I99" s="3" t="s">
        <v>58</v>
      </c>
      <c r="J99" s="3" t="s">
        <v>60</v>
      </c>
      <c r="K99" s="2" t="s">
        <v>1384</v>
      </c>
      <c r="L99" s="2" t="s">
        <v>1385</v>
      </c>
      <c r="M99" s="3" t="s">
        <v>1021</v>
      </c>
      <c r="N99" s="2" t="s">
        <v>64</v>
      </c>
      <c r="O99" s="3" t="s">
        <v>65</v>
      </c>
      <c r="P99" s="3" t="s">
        <v>1386</v>
      </c>
      <c r="R99" s="3" t="s">
        <v>67</v>
      </c>
      <c r="S99" s="4">
        <v>1</v>
      </c>
      <c r="T99" s="4">
        <v>1</v>
      </c>
      <c r="U99" s="5" t="s">
        <v>1361</v>
      </c>
      <c r="V99" s="5" t="s">
        <v>1361</v>
      </c>
      <c r="W99" s="5" t="s">
        <v>812</v>
      </c>
      <c r="X99" s="5" t="s">
        <v>812</v>
      </c>
      <c r="Y99" s="4">
        <v>291</v>
      </c>
      <c r="Z99" s="4">
        <v>258</v>
      </c>
      <c r="AA99" s="4">
        <v>263</v>
      </c>
      <c r="AB99" s="4">
        <v>1</v>
      </c>
      <c r="AC99" s="4">
        <v>1</v>
      </c>
      <c r="AD99" s="4">
        <v>6</v>
      </c>
      <c r="AE99" s="4">
        <v>6</v>
      </c>
      <c r="AF99" s="4">
        <v>4</v>
      </c>
      <c r="AG99" s="4">
        <v>4</v>
      </c>
      <c r="AH99" s="4">
        <v>1</v>
      </c>
      <c r="AI99" s="4">
        <v>1</v>
      </c>
      <c r="AJ99" s="4">
        <v>2</v>
      </c>
      <c r="AK99" s="4">
        <v>2</v>
      </c>
      <c r="AL99" s="4">
        <v>0</v>
      </c>
      <c r="AM99" s="4">
        <v>0</v>
      </c>
      <c r="AN99" s="4">
        <v>0</v>
      </c>
      <c r="AO99" s="4">
        <v>0</v>
      </c>
      <c r="AP99" s="3" t="s">
        <v>58</v>
      </c>
      <c r="AQ99" s="3" t="s">
        <v>58</v>
      </c>
      <c r="AS99" s="6" t="str">
        <f>HYPERLINK("https://creighton-primo.hosted.exlibrisgroup.com/primo-explore/search?tab=default_tab&amp;search_scope=EVERYTHING&amp;vid=01CRU&amp;lang=en_US&amp;offset=0&amp;query=any,contains,991003316859702656","Catalog Record")</f>
        <v>Catalog Record</v>
      </c>
      <c r="AT99" s="6" t="str">
        <f>HYPERLINK("http://www.worldcat.org/oclc/841482","WorldCat Record")</f>
        <v>WorldCat Record</v>
      </c>
      <c r="AU99" s="3" t="s">
        <v>1387</v>
      </c>
      <c r="AV99" s="3" t="s">
        <v>1388</v>
      </c>
      <c r="AW99" s="3" t="s">
        <v>1389</v>
      </c>
      <c r="AX99" s="3" t="s">
        <v>1389</v>
      </c>
      <c r="AY99" s="3" t="s">
        <v>1390</v>
      </c>
      <c r="AZ99" s="3" t="s">
        <v>74</v>
      </c>
      <c r="BC99" s="3" t="s">
        <v>1391</v>
      </c>
      <c r="BD99" s="3" t="s">
        <v>1392</v>
      </c>
    </row>
    <row r="100" spans="1:56" ht="40.5" customHeight="1" x14ac:dyDescent="0.25">
      <c r="A100" s="7" t="s">
        <v>58</v>
      </c>
      <c r="B100" s="2" t="s">
        <v>1393</v>
      </c>
      <c r="C100" s="2" t="s">
        <v>1394</v>
      </c>
      <c r="D100" s="2" t="s">
        <v>1395</v>
      </c>
      <c r="F100" s="3" t="s">
        <v>58</v>
      </c>
      <c r="G100" s="3" t="s">
        <v>59</v>
      </c>
      <c r="H100" s="3" t="s">
        <v>58</v>
      </c>
      <c r="I100" s="3" t="s">
        <v>58</v>
      </c>
      <c r="J100" s="3" t="s">
        <v>60</v>
      </c>
      <c r="K100" s="2" t="s">
        <v>1396</v>
      </c>
      <c r="L100" s="2" t="s">
        <v>1397</v>
      </c>
      <c r="M100" s="3" t="s">
        <v>1358</v>
      </c>
      <c r="O100" s="3" t="s">
        <v>65</v>
      </c>
      <c r="P100" s="3" t="s">
        <v>169</v>
      </c>
      <c r="R100" s="3" t="s">
        <v>67</v>
      </c>
      <c r="S100" s="4">
        <v>1</v>
      </c>
      <c r="T100" s="4">
        <v>1</v>
      </c>
      <c r="U100" s="5" t="s">
        <v>1361</v>
      </c>
      <c r="V100" s="5" t="s">
        <v>1361</v>
      </c>
      <c r="W100" s="5" t="s">
        <v>812</v>
      </c>
      <c r="X100" s="5" t="s">
        <v>812</v>
      </c>
      <c r="Y100" s="4">
        <v>434</v>
      </c>
      <c r="Z100" s="4">
        <v>374</v>
      </c>
      <c r="AA100" s="4">
        <v>392</v>
      </c>
      <c r="AB100" s="4">
        <v>5</v>
      </c>
      <c r="AC100" s="4">
        <v>5</v>
      </c>
      <c r="AD100" s="4">
        <v>21</v>
      </c>
      <c r="AE100" s="4">
        <v>22</v>
      </c>
      <c r="AF100" s="4">
        <v>2</v>
      </c>
      <c r="AG100" s="4">
        <v>3</v>
      </c>
      <c r="AH100" s="4">
        <v>4</v>
      </c>
      <c r="AI100" s="4">
        <v>4</v>
      </c>
      <c r="AJ100" s="4">
        <v>13</v>
      </c>
      <c r="AK100" s="4">
        <v>14</v>
      </c>
      <c r="AL100" s="4">
        <v>4</v>
      </c>
      <c r="AM100" s="4">
        <v>4</v>
      </c>
      <c r="AN100" s="4">
        <v>1</v>
      </c>
      <c r="AO100" s="4">
        <v>1</v>
      </c>
      <c r="AP100" s="3" t="s">
        <v>80</v>
      </c>
      <c r="AQ100" s="3" t="s">
        <v>58</v>
      </c>
      <c r="AR100" s="6" t="str">
        <f>HYPERLINK("http://catalog.hathitrust.org/Record/001126269","HathiTrust Record")</f>
        <v>HathiTrust Record</v>
      </c>
      <c r="AS100" s="6" t="str">
        <f>HYPERLINK("https://creighton-primo.hosted.exlibrisgroup.com/primo-explore/search?tab=default_tab&amp;search_scope=EVERYTHING&amp;vid=01CRU&amp;lang=en_US&amp;offset=0&amp;query=any,contains,991002374669702656","Catalog Record")</f>
        <v>Catalog Record</v>
      </c>
      <c r="AT100" s="6" t="str">
        <f>HYPERLINK("http://www.worldcat.org/oclc/327314","WorldCat Record")</f>
        <v>WorldCat Record</v>
      </c>
      <c r="AU100" s="3" t="s">
        <v>1398</v>
      </c>
      <c r="AV100" s="3" t="s">
        <v>1399</v>
      </c>
      <c r="AW100" s="3" t="s">
        <v>1400</v>
      </c>
      <c r="AX100" s="3" t="s">
        <v>1400</v>
      </c>
      <c r="AY100" s="3" t="s">
        <v>1401</v>
      </c>
      <c r="AZ100" s="3" t="s">
        <v>74</v>
      </c>
      <c r="BC100" s="3" t="s">
        <v>1402</v>
      </c>
      <c r="BD100" s="3" t="s">
        <v>1403</v>
      </c>
    </row>
    <row r="101" spans="1:56" ht="40.5" customHeight="1" x14ac:dyDescent="0.25">
      <c r="A101" s="7" t="s">
        <v>58</v>
      </c>
      <c r="B101" s="2" t="s">
        <v>1404</v>
      </c>
      <c r="C101" s="2" t="s">
        <v>1405</v>
      </c>
      <c r="D101" s="2" t="s">
        <v>1406</v>
      </c>
      <c r="F101" s="3" t="s">
        <v>58</v>
      </c>
      <c r="G101" s="3" t="s">
        <v>59</v>
      </c>
      <c r="H101" s="3" t="s">
        <v>58</v>
      </c>
      <c r="I101" s="3" t="s">
        <v>58</v>
      </c>
      <c r="J101" s="3" t="s">
        <v>60</v>
      </c>
      <c r="K101" s="2" t="s">
        <v>1407</v>
      </c>
      <c r="L101" s="2" t="s">
        <v>1408</v>
      </c>
      <c r="M101" s="3" t="s">
        <v>1213</v>
      </c>
      <c r="O101" s="3" t="s">
        <v>65</v>
      </c>
      <c r="P101" s="3" t="s">
        <v>112</v>
      </c>
      <c r="Q101" s="2" t="s">
        <v>1409</v>
      </c>
      <c r="R101" s="3" t="s">
        <v>67</v>
      </c>
      <c r="S101" s="4">
        <v>1</v>
      </c>
      <c r="T101" s="4">
        <v>1</v>
      </c>
      <c r="U101" s="5" t="s">
        <v>1410</v>
      </c>
      <c r="V101" s="5" t="s">
        <v>1410</v>
      </c>
      <c r="W101" s="5" t="s">
        <v>1410</v>
      </c>
      <c r="X101" s="5" t="s">
        <v>1410</v>
      </c>
      <c r="Y101" s="4">
        <v>229</v>
      </c>
      <c r="Z101" s="4">
        <v>190</v>
      </c>
      <c r="AA101" s="4">
        <v>1067</v>
      </c>
      <c r="AB101" s="4">
        <v>4</v>
      </c>
      <c r="AC101" s="4">
        <v>28</v>
      </c>
      <c r="AD101" s="4">
        <v>8</v>
      </c>
      <c r="AE101" s="4">
        <v>26</v>
      </c>
      <c r="AF101" s="4">
        <v>1</v>
      </c>
      <c r="AG101" s="4">
        <v>4</v>
      </c>
      <c r="AH101" s="4">
        <v>2</v>
      </c>
      <c r="AI101" s="4">
        <v>5</v>
      </c>
      <c r="AJ101" s="4">
        <v>4</v>
      </c>
      <c r="AK101" s="4">
        <v>7</v>
      </c>
      <c r="AL101" s="4">
        <v>3</v>
      </c>
      <c r="AM101" s="4">
        <v>13</v>
      </c>
      <c r="AN101" s="4">
        <v>0</v>
      </c>
      <c r="AO101" s="4">
        <v>0</v>
      </c>
      <c r="AP101" s="3" t="s">
        <v>58</v>
      </c>
      <c r="AQ101" s="3" t="s">
        <v>58</v>
      </c>
      <c r="AS101" s="6" t="str">
        <f>HYPERLINK("https://creighton-primo.hosted.exlibrisgroup.com/primo-explore/search?tab=default_tab&amp;search_scope=EVERYTHING&amp;vid=01CRU&amp;lang=en_US&amp;offset=0&amp;query=any,contains,991003997919702656","Catalog Record")</f>
        <v>Catalog Record</v>
      </c>
      <c r="AT101" s="6" t="str">
        <f>HYPERLINK("http://www.worldcat.org/oclc/50919963","WorldCat Record")</f>
        <v>WorldCat Record</v>
      </c>
      <c r="AU101" s="3" t="s">
        <v>1411</v>
      </c>
      <c r="AV101" s="3" t="s">
        <v>1412</v>
      </c>
      <c r="AW101" s="3" t="s">
        <v>1413</v>
      </c>
      <c r="AX101" s="3" t="s">
        <v>1413</v>
      </c>
      <c r="AY101" s="3" t="s">
        <v>1414</v>
      </c>
      <c r="AZ101" s="3" t="s">
        <v>74</v>
      </c>
      <c r="BB101" s="3" t="s">
        <v>1415</v>
      </c>
      <c r="BC101" s="3" t="s">
        <v>1416</v>
      </c>
      <c r="BD101" s="3" t="s">
        <v>1417</v>
      </c>
    </row>
    <row r="102" spans="1:56" ht="40.5" customHeight="1" x14ac:dyDescent="0.25">
      <c r="A102" s="7" t="s">
        <v>58</v>
      </c>
      <c r="B102" s="2" t="s">
        <v>1418</v>
      </c>
      <c r="C102" s="2" t="s">
        <v>1419</v>
      </c>
      <c r="D102" s="2" t="s">
        <v>1420</v>
      </c>
      <c r="F102" s="3" t="s">
        <v>58</v>
      </c>
      <c r="G102" s="3" t="s">
        <v>59</v>
      </c>
      <c r="H102" s="3" t="s">
        <v>58</v>
      </c>
      <c r="I102" s="3" t="s">
        <v>58</v>
      </c>
      <c r="J102" s="3" t="s">
        <v>60</v>
      </c>
      <c r="K102" s="2" t="s">
        <v>1421</v>
      </c>
      <c r="L102" s="2" t="s">
        <v>1422</v>
      </c>
      <c r="M102" s="3" t="s">
        <v>1213</v>
      </c>
      <c r="N102" s="2" t="s">
        <v>84</v>
      </c>
      <c r="O102" s="3" t="s">
        <v>65</v>
      </c>
      <c r="P102" s="3" t="s">
        <v>66</v>
      </c>
      <c r="R102" s="3" t="s">
        <v>67</v>
      </c>
      <c r="S102" s="4">
        <v>1</v>
      </c>
      <c r="T102" s="4">
        <v>1</v>
      </c>
      <c r="U102" s="5" t="s">
        <v>1423</v>
      </c>
      <c r="V102" s="5" t="s">
        <v>1423</v>
      </c>
      <c r="W102" s="5" t="s">
        <v>1423</v>
      </c>
      <c r="X102" s="5" t="s">
        <v>1423</v>
      </c>
      <c r="Y102" s="4">
        <v>981</v>
      </c>
      <c r="Z102" s="4">
        <v>937</v>
      </c>
      <c r="AA102" s="4">
        <v>989</v>
      </c>
      <c r="AB102" s="4">
        <v>5</v>
      </c>
      <c r="AC102" s="4">
        <v>6</v>
      </c>
      <c r="AD102" s="4">
        <v>22</v>
      </c>
      <c r="AE102" s="4">
        <v>24</v>
      </c>
      <c r="AF102" s="4">
        <v>11</v>
      </c>
      <c r="AG102" s="4">
        <v>12</v>
      </c>
      <c r="AH102" s="4">
        <v>4</v>
      </c>
      <c r="AI102" s="4">
        <v>4</v>
      </c>
      <c r="AJ102" s="4">
        <v>11</v>
      </c>
      <c r="AK102" s="4">
        <v>11</v>
      </c>
      <c r="AL102" s="4">
        <v>3</v>
      </c>
      <c r="AM102" s="4">
        <v>4</v>
      </c>
      <c r="AN102" s="4">
        <v>0</v>
      </c>
      <c r="AO102" s="4">
        <v>0</v>
      </c>
      <c r="AP102" s="3" t="s">
        <v>58</v>
      </c>
      <c r="AQ102" s="3" t="s">
        <v>58</v>
      </c>
      <c r="AS102" s="6" t="str">
        <f>HYPERLINK("https://creighton-primo.hosted.exlibrisgroup.com/primo-explore/search?tab=default_tab&amp;search_scope=EVERYTHING&amp;vid=01CRU&amp;lang=en_US&amp;offset=0&amp;query=any,contains,991004004329702656","Catalog Record")</f>
        <v>Catalog Record</v>
      </c>
      <c r="AT102" s="6" t="str">
        <f>HYPERLINK("http://www.worldcat.org/oclc/50034876","WorldCat Record")</f>
        <v>WorldCat Record</v>
      </c>
      <c r="AU102" s="3" t="s">
        <v>1424</v>
      </c>
      <c r="AV102" s="3" t="s">
        <v>1425</v>
      </c>
      <c r="AW102" s="3" t="s">
        <v>1426</v>
      </c>
      <c r="AX102" s="3" t="s">
        <v>1426</v>
      </c>
      <c r="AY102" s="3" t="s">
        <v>1427</v>
      </c>
      <c r="AZ102" s="3" t="s">
        <v>74</v>
      </c>
      <c r="BB102" s="3" t="s">
        <v>1428</v>
      </c>
      <c r="BC102" s="3" t="s">
        <v>1429</v>
      </c>
      <c r="BD102" s="3" t="s">
        <v>1430</v>
      </c>
    </row>
    <row r="103" spans="1:56" ht="40.5" customHeight="1" x14ac:dyDescent="0.25">
      <c r="A103" s="7" t="s">
        <v>58</v>
      </c>
      <c r="B103" s="2" t="s">
        <v>1431</v>
      </c>
      <c r="C103" s="2" t="s">
        <v>1432</v>
      </c>
      <c r="D103" s="2" t="s">
        <v>1433</v>
      </c>
      <c r="F103" s="3" t="s">
        <v>58</v>
      </c>
      <c r="G103" s="3" t="s">
        <v>59</v>
      </c>
      <c r="H103" s="3" t="s">
        <v>58</v>
      </c>
      <c r="I103" s="3" t="s">
        <v>58</v>
      </c>
      <c r="J103" s="3" t="s">
        <v>60</v>
      </c>
      <c r="K103" s="2" t="s">
        <v>1434</v>
      </c>
      <c r="L103" s="2" t="s">
        <v>1435</v>
      </c>
      <c r="M103" s="3" t="s">
        <v>1034</v>
      </c>
      <c r="O103" s="3" t="s">
        <v>65</v>
      </c>
      <c r="P103" s="3" t="s">
        <v>112</v>
      </c>
      <c r="R103" s="3" t="s">
        <v>67</v>
      </c>
      <c r="S103" s="4">
        <v>1</v>
      </c>
      <c r="T103" s="4">
        <v>1</v>
      </c>
      <c r="U103" s="5" t="s">
        <v>1436</v>
      </c>
      <c r="V103" s="5" t="s">
        <v>1436</v>
      </c>
      <c r="W103" s="5" t="s">
        <v>1437</v>
      </c>
      <c r="X103" s="5" t="s">
        <v>1437</v>
      </c>
      <c r="Y103" s="4">
        <v>1260</v>
      </c>
      <c r="Z103" s="4">
        <v>1142</v>
      </c>
      <c r="AA103" s="4">
        <v>1345</v>
      </c>
      <c r="AB103" s="4">
        <v>10</v>
      </c>
      <c r="AC103" s="4">
        <v>10</v>
      </c>
      <c r="AD103" s="4">
        <v>43</v>
      </c>
      <c r="AE103" s="4">
        <v>51</v>
      </c>
      <c r="AF103" s="4">
        <v>17</v>
      </c>
      <c r="AG103" s="4">
        <v>21</v>
      </c>
      <c r="AH103" s="4">
        <v>8</v>
      </c>
      <c r="AI103" s="4">
        <v>10</v>
      </c>
      <c r="AJ103" s="4">
        <v>21</v>
      </c>
      <c r="AK103" s="4">
        <v>24</v>
      </c>
      <c r="AL103" s="4">
        <v>9</v>
      </c>
      <c r="AM103" s="4">
        <v>9</v>
      </c>
      <c r="AN103" s="4">
        <v>0</v>
      </c>
      <c r="AO103" s="4">
        <v>0</v>
      </c>
      <c r="AP103" s="3" t="s">
        <v>58</v>
      </c>
      <c r="AQ103" s="3" t="s">
        <v>58</v>
      </c>
      <c r="AS103" s="6" t="str">
        <f>HYPERLINK("https://creighton-primo.hosted.exlibrisgroup.com/primo-explore/search?tab=default_tab&amp;search_scope=EVERYTHING&amp;vid=01CRU&amp;lang=en_US&amp;offset=0&amp;query=any,contains,991003176959702656","Catalog Record")</f>
        <v>Catalog Record</v>
      </c>
      <c r="AT103" s="6" t="str">
        <f>HYPERLINK("http://www.worldcat.org/oclc/710949","WorldCat Record")</f>
        <v>WorldCat Record</v>
      </c>
      <c r="AU103" s="3" t="s">
        <v>1438</v>
      </c>
      <c r="AV103" s="3" t="s">
        <v>1439</v>
      </c>
      <c r="AW103" s="3" t="s">
        <v>1440</v>
      </c>
      <c r="AX103" s="3" t="s">
        <v>1440</v>
      </c>
      <c r="AY103" s="3" t="s">
        <v>1441</v>
      </c>
      <c r="AZ103" s="3" t="s">
        <v>74</v>
      </c>
      <c r="BC103" s="3" t="s">
        <v>1442</v>
      </c>
      <c r="BD103" s="3" t="s">
        <v>1443</v>
      </c>
    </row>
    <row r="104" spans="1:56" ht="40.5" customHeight="1" x14ac:dyDescent="0.25">
      <c r="A104" s="7" t="s">
        <v>58</v>
      </c>
      <c r="B104" s="2" t="s">
        <v>1444</v>
      </c>
      <c r="C104" s="2" t="s">
        <v>1445</v>
      </c>
      <c r="D104" s="2" t="s">
        <v>1446</v>
      </c>
      <c r="F104" s="3" t="s">
        <v>58</v>
      </c>
      <c r="G104" s="3" t="s">
        <v>59</v>
      </c>
      <c r="H104" s="3" t="s">
        <v>58</v>
      </c>
      <c r="I104" s="3" t="s">
        <v>58</v>
      </c>
      <c r="J104" s="3" t="s">
        <v>60</v>
      </c>
      <c r="K104" s="2" t="s">
        <v>1447</v>
      </c>
      <c r="L104" s="2" t="s">
        <v>1448</v>
      </c>
      <c r="M104" s="3" t="s">
        <v>154</v>
      </c>
      <c r="O104" s="3" t="s">
        <v>65</v>
      </c>
      <c r="P104" s="3" t="s">
        <v>66</v>
      </c>
      <c r="R104" s="3" t="s">
        <v>67</v>
      </c>
      <c r="S104" s="4">
        <v>0</v>
      </c>
      <c r="T104" s="4">
        <v>0</v>
      </c>
      <c r="U104" s="5" t="s">
        <v>1449</v>
      </c>
      <c r="V104" s="5" t="s">
        <v>1449</v>
      </c>
      <c r="W104" s="5" t="s">
        <v>1275</v>
      </c>
      <c r="X104" s="5" t="s">
        <v>1275</v>
      </c>
      <c r="Y104" s="4">
        <v>59</v>
      </c>
      <c r="Z104" s="4">
        <v>55</v>
      </c>
      <c r="AA104" s="4">
        <v>62</v>
      </c>
      <c r="AB104" s="4">
        <v>1</v>
      </c>
      <c r="AC104" s="4">
        <v>1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3" t="s">
        <v>58</v>
      </c>
      <c r="AQ104" s="3" t="s">
        <v>58</v>
      </c>
      <c r="AS104" s="6" t="str">
        <f>HYPERLINK("https://creighton-primo.hosted.exlibrisgroup.com/primo-explore/search?tab=default_tab&amp;search_scope=EVERYTHING&amp;vid=01CRU&amp;lang=en_US&amp;offset=0&amp;query=any,contains,991002429719702656","Catalog Record")</f>
        <v>Catalog Record</v>
      </c>
      <c r="AT104" s="6" t="str">
        <f>HYPERLINK("http://www.worldcat.org/oclc/346422","WorldCat Record")</f>
        <v>WorldCat Record</v>
      </c>
      <c r="AU104" s="3" t="s">
        <v>1450</v>
      </c>
      <c r="AV104" s="3" t="s">
        <v>1451</v>
      </c>
      <c r="AW104" s="3" t="s">
        <v>1452</v>
      </c>
      <c r="AX104" s="3" t="s">
        <v>1452</v>
      </c>
      <c r="AY104" s="3" t="s">
        <v>1453</v>
      </c>
      <c r="AZ104" s="3" t="s">
        <v>74</v>
      </c>
      <c r="BC104" s="3" t="s">
        <v>1454</v>
      </c>
      <c r="BD104" s="3" t="s">
        <v>1455</v>
      </c>
    </row>
    <row r="105" spans="1:56" ht="40.5" customHeight="1" x14ac:dyDescent="0.25">
      <c r="A105" s="7" t="s">
        <v>58</v>
      </c>
      <c r="B105" s="2" t="s">
        <v>1456</v>
      </c>
      <c r="C105" s="2" t="s">
        <v>1457</v>
      </c>
      <c r="D105" s="2" t="s">
        <v>1458</v>
      </c>
      <c r="E105" s="3" t="s">
        <v>1459</v>
      </c>
      <c r="F105" s="3" t="s">
        <v>80</v>
      </c>
      <c r="G105" s="3" t="s">
        <v>59</v>
      </c>
      <c r="H105" s="3" t="s">
        <v>58</v>
      </c>
      <c r="I105" s="3" t="s">
        <v>58</v>
      </c>
      <c r="J105" s="3" t="s">
        <v>60</v>
      </c>
      <c r="L105" s="2" t="s">
        <v>1460</v>
      </c>
      <c r="M105" s="3" t="s">
        <v>1461</v>
      </c>
      <c r="O105" s="3" t="s">
        <v>65</v>
      </c>
      <c r="P105" s="3" t="s">
        <v>214</v>
      </c>
      <c r="R105" s="3" t="s">
        <v>67</v>
      </c>
      <c r="S105" s="4">
        <v>0</v>
      </c>
      <c r="T105" s="4">
        <v>1</v>
      </c>
      <c r="V105" s="5" t="s">
        <v>1462</v>
      </c>
      <c r="W105" s="5" t="s">
        <v>1463</v>
      </c>
      <c r="X105" s="5" t="s">
        <v>1463</v>
      </c>
      <c r="Y105" s="4">
        <v>86</v>
      </c>
      <c r="Z105" s="4">
        <v>78</v>
      </c>
      <c r="AA105" s="4">
        <v>88</v>
      </c>
      <c r="AB105" s="4">
        <v>2</v>
      </c>
      <c r="AC105" s="4">
        <v>2</v>
      </c>
      <c r="AD105" s="4">
        <v>3</v>
      </c>
      <c r="AE105" s="4">
        <v>3</v>
      </c>
      <c r="AF105" s="4">
        <v>0</v>
      </c>
      <c r="AG105" s="4">
        <v>0</v>
      </c>
      <c r="AH105" s="4">
        <v>1</v>
      </c>
      <c r="AI105" s="4">
        <v>1</v>
      </c>
      <c r="AJ105" s="4">
        <v>1</v>
      </c>
      <c r="AK105" s="4">
        <v>1</v>
      </c>
      <c r="AL105" s="4">
        <v>1</v>
      </c>
      <c r="AM105" s="4">
        <v>1</v>
      </c>
      <c r="AN105" s="4">
        <v>0</v>
      </c>
      <c r="AO105" s="4">
        <v>0</v>
      </c>
      <c r="AP105" s="3" t="s">
        <v>58</v>
      </c>
      <c r="AQ105" s="3" t="s">
        <v>80</v>
      </c>
      <c r="AR105" s="6" t="str">
        <f>HYPERLINK("http://catalog.hathitrust.org/Record/010620934","HathiTrust Record")</f>
        <v>HathiTrust Record</v>
      </c>
      <c r="AS105" s="6" t="str">
        <f>HYPERLINK("https://creighton-primo.hosted.exlibrisgroup.com/primo-explore/search?tab=default_tab&amp;search_scope=EVERYTHING&amp;vid=01CRU&amp;lang=en_US&amp;offset=0&amp;query=any,contains,991004483099702656","Catalog Record")</f>
        <v>Catalog Record</v>
      </c>
      <c r="AT105" s="6" t="str">
        <f>HYPERLINK("http://www.worldcat.org/oclc/3630919","WorldCat Record")</f>
        <v>WorldCat Record</v>
      </c>
      <c r="AU105" s="3" t="s">
        <v>1464</v>
      </c>
      <c r="AV105" s="3" t="s">
        <v>1465</v>
      </c>
      <c r="AW105" s="3" t="s">
        <v>1466</v>
      </c>
      <c r="AX105" s="3" t="s">
        <v>1466</v>
      </c>
      <c r="AY105" s="3" t="s">
        <v>1467</v>
      </c>
      <c r="AZ105" s="3" t="s">
        <v>74</v>
      </c>
      <c r="BC105" s="3" t="s">
        <v>1468</v>
      </c>
      <c r="BD105" s="3" t="s">
        <v>1469</v>
      </c>
    </row>
    <row r="106" spans="1:56" ht="40.5" customHeight="1" x14ac:dyDescent="0.25">
      <c r="A106" s="7" t="s">
        <v>58</v>
      </c>
      <c r="B106" s="2" t="s">
        <v>1456</v>
      </c>
      <c r="C106" s="2" t="s">
        <v>1457</v>
      </c>
      <c r="D106" s="2" t="s">
        <v>1458</v>
      </c>
      <c r="E106" s="3" t="s">
        <v>703</v>
      </c>
      <c r="F106" s="3" t="s">
        <v>80</v>
      </c>
      <c r="G106" s="3" t="s">
        <v>59</v>
      </c>
      <c r="H106" s="3" t="s">
        <v>58</v>
      </c>
      <c r="I106" s="3" t="s">
        <v>58</v>
      </c>
      <c r="J106" s="3" t="s">
        <v>60</v>
      </c>
      <c r="L106" s="2" t="s">
        <v>1460</v>
      </c>
      <c r="M106" s="3" t="s">
        <v>1461</v>
      </c>
      <c r="O106" s="3" t="s">
        <v>65</v>
      </c>
      <c r="P106" s="3" t="s">
        <v>214</v>
      </c>
      <c r="R106" s="3" t="s">
        <v>67</v>
      </c>
      <c r="S106" s="4">
        <v>0</v>
      </c>
      <c r="T106" s="4">
        <v>1</v>
      </c>
      <c r="V106" s="5" t="s">
        <v>1462</v>
      </c>
      <c r="W106" s="5" t="s">
        <v>1463</v>
      </c>
      <c r="X106" s="5" t="s">
        <v>1463</v>
      </c>
      <c r="Y106" s="4">
        <v>86</v>
      </c>
      <c r="Z106" s="4">
        <v>78</v>
      </c>
      <c r="AA106" s="4">
        <v>88</v>
      </c>
      <c r="AB106" s="4">
        <v>2</v>
      </c>
      <c r="AC106" s="4">
        <v>2</v>
      </c>
      <c r="AD106" s="4">
        <v>3</v>
      </c>
      <c r="AE106" s="4">
        <v>3</v>
      </c>
      <c r="AF106" s="4">
        <v>0</v>
      </c>
      <c r="AG106" s="4">
        <v>0</v>
      </c>
      <c r="AH106" s="4">
        <v>1</v>
      </c>
      <c r="AI106" s="4">
        <v>1</v>
      </c>
      <c r="AJ106" s="4">
        <v>1</v>
      </c>
      <c r="AK106" s="4">
        <v>1</v>
      </c>
      <c r="AL106" s="4">
        <v>1</v>
      </c>
      <c r="AM106" s="4">
        <v>1</v>
      </c>
      <c r="AN106" s="4">
        <v>0</v>
      </c>
      <c r="AO106" s="4">
        <v>0</v>
      </c>
      <c r="AP106" s="3" t="s">
        <v>58</v>
      </c>
      <c r="AQ106" s="3" t="s">
        <v>80</v>
      </c>
      <c r="AR106" s="6" t="str">
        <f>HYPERLINK("http://catalog.hathitrust.org/Record/010620934","HathiTrust Record")</f>
        <v>HathiTrust Record</v>
      </c>
      <c r="AS106" s="6" t="str">
        <f>HYPERLINK("https://creighton-primo.hosted.exlibrisgroup.com/primo-explore/search?tab=default_tab&amp;search_scope=EVERYTHING&amp;vid=01CRU&amp;lang=en_US&amp;offset=0&amp;query=any,contains,991004483099702656","Catalog Record")</f>
        <v>Catalog Record</v>
      </c>
      <c r="AT106" s="6" t="str">
        <f>HYPERLINK("http://www.worldcat.org/oclc/3630919","WorldCat Record")</f>
        <v>WorldCat Record</v>
      </c>
      <c r="AU106" s="3" t="s">
        <v>1464</v>
      </c>
      <c r="AV106" s="3" t="s">
        <v>1465</v>
      </c>
      <c r="AW106" s="3" t="s">
        <v>1466</v>
      </c>
      <c r="AX106" s="3" t="s">
        <v>1466</v>
      </c>
      <c r="AY106" s="3" t="s">
        <v>1467</v>
      </c>
      <c r="AZ106" s="3" t="s">
        <v>74</v>
      </c>
      <c r="BC106" s="3" t="s">
        <v>1470</v>
      </c>
      <c r="BD106" s="3" t="s">
        <v>1471</v>
      </c>
    </row>
    <row r="107" spans="1:56" ht="40.5" customHeight="1" x14ac:dyDescent="0.25">
      <c r="A107" s="7" t="s">
        <v>58</v>
      </c>
      <c r="B107" s="2" t="s">
        <v>1456</v>
      </c>
      <c r="C107" s="2" t="s">
        <v>1457</v>
      </c>
      <c r="D107" s="2" t="s">
        <v>1458</v>
      </c>
      <c r="E107" s="3" t="s">
        <v>700</v>
      </c>
      <c r="F107" s="3" t="s">
        <v>80</v>
      </c>
      <c r="G107" s="3" t="s">
        <v>59</v>
      </c>
      <c r="H107" s="3" t="s">
        <v>58</v>
      </c>
      <c r="I107" s="3" t="s">
        <v>58</v>
      </c>
      <c r="J107" s="3" t="s">
        <v>60</v>
      </c>
      <c r="L107" s="2" t="s">
        <v>1460</v>
      </c>
      <c r="M107" s="3" t="s">
        <v>1461</v>
      </c>
      <c r="O107" s="3" t="s">
        <v>65</v>
      </c>
      <c r="P107" s="3" t="s">
        <v>214</v>
      </c>
      <c r="R107" s="3" t="s">
        <v>67</v>
      </c>
      <c r="S107" s="4">
        <v>0</v>
      </c>
      <c r="T107" s="4">
        <v>1</v>
      </c>
      <c r="V107" s="5" t="s">
        <v>1462</v>
      </c>
      <c r="W107" s="5" t="s">
        <v>1463</v>
      </c>
      <c r="X107" s="5" t="s">
        <v>1463</v>
      </c>
      <c r="Y107" s="4">
        <v>86</v>
      </c>
      <c r="Z107" s="4">
        <v>78</v>
      </c>
      <c r="AA107" s="4">
        <v>88</v>
      </c>
      <c r="AB107" s="4">
        <v>2</v>
      </c>
      <c r="AC107" s="4">
        <v>2</v>
      </c>
      <c r="AD107" s="4">
        <v>3</v>
      </c>
      <c r="AE107" s="4">
        <v>3</v>
      </c>
      <c r="AF107" s="4">
        <v>0</v>
      </c>
      <c r="AG107" s="4">
        <v>0</v>
      </c>
      <c r="AH107" s="4">
        <v>1</v>
      </c>
      <c r="AI107" s="4">
        <v>1</v>
      </c>
      <c r="AJ107" s="4">
        <v>1</v>
      </c>
      <c r="AK107" s="4">
        <v>1</v>
      </c>
      <c r="AL107" s="4">
        <v>1</v>
      </c>
      <c r="AM107" s="4">
        <v>1</v>
      </c>
      <c r="AN107" s="4">
        <v>0</v>
      </c>
      <c r="AO107" s="4">
        <v>0</v>
      </c>
      <c r="AP107" s="3" t="s">
        <v>58</v>
      </c>
      <c r="AQ107" s="3" t="s">
        <v>80</v>
      </c>
      <c r="AR107" s="6" t="str">
        <f>HYPERLINK("http://catalog.hathitrust.org/Record/010620934","HathiTrust Record")</f>
        <v>HathiTrust Record</v>
      </c>
      <c r="AS107" s="6" t="str">
        <f>HYPERLINK("https://creighton-primo.hosted.exlibrisgroup.com/primo-explore/search?tab=default_tab&amp;search_scope=EVERYTHING&amp;vid=01CRU&amp;lang=en_US&amp;offset=0&amp;query=any,contains,991004483099702656","Catalog Record")</f>
        <v>Catalog Record</v>
      </c>
      <c r="AT107" s="6" t="str">
        <f>HYPERLINK("http://www.worldcat.org/oclc/3630919","WorldCat Record")</f>
        <v>WorldCat Record</v>
      </c>
      <c r="AU107" s="3" t="s">
        <v>1464</v>
      </c>
      <c r="AV107" s="3" t="s">
        <v>1465</v>
      </c>
      <c r="AW107" s="3" t="s">
        <v>1466</v>
      </c>
      <c r="AX107" s="3" t="s">
        <v>1466</v>
      </c>
      <c r="AY107" s="3" t="s">
        <v>1467</v>
      </c>
      <c r="AZ107" s="3" t="s">
        <v>74</v>
      </c>
      <c r="BC107" s="3" t="s">
        <v>1472</v>
      </c>
      <c r="BD107" s="3" t="s">
        <v>1473</v>
      </c>
    </row>
    <row r="108" spans="1:56" ht="40.5" customHeight="1" x14ac:dyDescent="0.25">
      <c r="A108" s="7" t="s">
        <v>58</v>
      </c>
      <c r="B108" s="2" t="s">
        <v>1456</v>
      </c>
      <c r="C108" s="2" t="s">
        <v>1457</v>
      </c>
      <c r="D108" s="2" t="s">
        <v>1458</v>
      </c>
      <c r="E108" s="3" t="s">
        <v>1014</v>
      </c>
      <c r="F108" s="3" t="s">
        <v>80</v>
      </c>
      <c r="G108" s="3" t="s">
        <v>59</v>
      </c>
      <c r="H108" s="3" t="s">
        <v>58</v>
      </c>
      <c r="I108" s="3" t="s">
        <v>58</v>
      </c>
      <c r="J108" s="3" t="s">
        <v>60</v>
      </c>
      <c r="L108" s="2" t="s">
        <v>1460</v>
      </c>
      <c r="M108" s="3" t="s">
        <v>1461</v>
      </c>
      <c r="O108" s="3" t="s">
        <v>65</v>
      </c>
      <c r="P108" s="3" t="s">
        <v>214</v>
      </c>
      <c r="R108" s="3" t="s">
        <v>67</v>
      </c>
      <c r="S108" s="4">
        <v>0</v>
      </c>
      <c r="T108" s="4">
        <v>1</v>
      </c>
      <c r="V108" s="5" t="s">
        <v>1462</v>
      </c>
      <c r="W108" s="5" t="s">
        <v>1463</v>
      </c>
      <c r="X108" s="5" t="s">
        <v>1463</v>
      </c>
      <c r="Y108" s="4">
        <v>86</v>
      </c>
      <c r="Z108" s="4">
        <v>78</v>
      </c>
      <c r="AA108" s="4">
        <v>88</v>
      </c>
      <c r="AB108" s="4">
        <v>2</v>
      </c>
      <c r="AC108" s="4">
        <v>2</v>
      </c>
      <c r="AD108" s="4">
        <v>3</v>
      </c>
      <c r="AE108" s="4">
        <v>3</v>
      </c>
      <c r="AF108" s="4">
        <v>0</v>
      </c>
      <c r="AG108" s="4">
        <v>0</v>
      </c>
      <c r="AH108" s="4">
        <v>1</v>
      </c>
      <c r="AI108" s="4">
        <v>1</v>
      </c>
      <c r="AJ108" s="4">
        <v>1</v>
      </c>
      <c r="AK108" s="4">
        <v>1</v>
      </c>
      <c r="AL108" s="4">
        <v>1</v>
      </c>
      <c r="AM108" s="4">
        <v>1</v>
      </c>
      <c r="AN108" s="4">
        <v>0</v>
      </c>
      <c r="AO108" s="4">
        <v>0</v>
      </c>
      <c r="AP108" s="3" t="s">
        <v>58</v>
      </c>
      <c r="AQ108" s="3" t="s">
        <v>80</v>
      </c>
      <c r="AR108" s="6" t="str">
        <f>HYPERLINK("http://catalog.hathitrust.org/Record/010620934","HathiTrust Record")</f>
        <v>HathiTrust Record</v>
      </c>
      <c r="AS108" s="6" t="str">
        <f>HYPERLINK("https://creighton-primo.hosted.exlibrisgroup.com/primo-explore/search?tab=default_tab&amp;search_scope=EVERYTHING&amp;vid=01CRU&amp;lang=en_US&amp;offset=0&amp;query=any,contains,991004483099702656","Catalog Record")</f>
        <v>Catalog Record</v>
      </c>
      <c r="AT108" s="6" t="str">
        <f>HYPERLINK("http://www.worldcat.org/oclc/3630919","WorldCat Record")</f>
        <v>WorldCat Record</v>
      </c>
      <c r="AU108" s="3" t="s">
        <v>1464</v>
      </c>
      <c r="AV108" s="3" t="s">
        <v>1465</v>
      </c>
      <c r="AW108" s="3" t="s">
        <v>1466</v>
      </c>
      <c r="AX108" s="3" t="s">
        <v>1466</v>
      </c>
      <c r="AY108" s="3" t="s">
        <v>1467</v>
      </c>
      <c r="AZ108" s="3" t="s">
        <v>74</v>
      </c>
      <c r="BC108" s="3" t="s">
        <v>1474</v>
      </c>
      <c r="BD108" s="3" t="s">
        <v>1475</v>
      </c>
    </row>
    <row r="109" spans="1:56" ht="40.5" customHeight="1" x14ac:dyDescent="0.25">
      <c r="A109" s="7" t="s">
        <v>58</v>
      </c>
      <c r="B109" s="2" t="s">
        <v>1476</v>
      </c>
      <c r="C109" s="2" t="s">
        <v>1477</v>
      </c>
      <c r="D109" s="2" t="s">
        <v>1478</v>
      </c>
      <c r="F109" s="3" t="s">
        <v>58</v>
      </c>
      <c r="G109" s="3" t="s">
        <v>59</v>
      </c>
      <c r="H109" s="3" t="s">
        <v>58</v>
      </c>
      <c r="I109" s="3" t="s">
        <v>58</v>
      </c>
      <c r="J109" s="3" t="s">
        <v>60</v>
      </c>
      <c r="L109" s="2" t="s">
        <v>1479</v>
      </c>
      <c r="M109" s="3" t="s">
        <v>1227</v>
      </c>
      <c r="O109" s="3" t="s">
        <v>65</v>
      </c>
      <c r="P109" s="3" t="s">
        <v>1480</v>
      </c>
      <c r="R109" s="3" t="s">
        <v>67</v>
      </c>
      <c r="S109" s="4">
        <v>1</v>
      </c>
      <c r="T109" s="4">
        <v>1</v>
      </c>
      <c r="U109" s="5" t="s">
        <v>1481</v>
      </c>
      <c r="V109" s="5" t="s">
        <v>1481</v>
      </c>
      <c r="W109" s="5" t="s">
        <v>1482</v>
      </c>
      <c r="X109" s="5" t="s">
        <v>1482</v>
      </c>
      <c r="Y109" s="4">
        <v>467</v>
      </c>
      <c r="Z109" s="4">
        <v>405</v>
      </c>
      <c r="AA109" s="4">
        <v>410</v>
      </c>
      <c r="AB109" s="4">
        <v>4</v>
      </c>
      <c r="AC109" s="4">
        <v>4</v>
      </c>
      <c r="AD109" s="4">
        <v>21</v>
      </c>
      <c r="AE109" s="4">
        <v>21</v>
      </c>
      <c r="AF109" s="4">
        <v>6</v>
      </c>
      <c r="AG109" s="4">
        <v>6</v>
      </c>
      <c r="AH109" s="4">
        <v>5</v>
      </c>
      <c r="AI109" s="4">
        <v>5</v>
      </c>
      <c r="AJ109" s="4">
        <v>11</v>
      </c>
      <c r="AK109" s="4">
        <v>11</v>
      </c>
      <c r="AL109" s="4">
        <v>3</v>
      </c>
      <c r="AM109" s="4">
        <v>3</v>
      </c>
      <c r="AN109" s="4">
        <v>2</v>
      </c>
      <c r="AO109" s="4">
        <v>2</v>
      </c>
      <c r="AP109" s="3" t="s">
        <v>58</v>
      </c>
      <c r="AQ109" s="3" t="s">
        <v>58</v>
      </c>
      <c r="AS109" s="6" t="str">
        <f>HYPERLINK("https://creighton-primo.hosted.exlibrisgroup.com/primo-explore/search?tab=default_tab&amp;search_scope=EVERYTHING&amp;vid=01CRU&amp;lang=en_US&amp;offset=0&amp;query=any,contains,991002654019702656","Catalog Record")</f>
        <v>Catalog Record</v>
      </c>
      <c r="AT109" s="6" t="str">
        <f>HYPERLINK("http://www.worldcat.org/oclc/34704890","WorldCat Record")</f>
        <v>WorldCat Record</v>
      </c>
      <c r="AU109" s="3" t="s">
        <v>1483</v>
      </c>
      <c r="AV109" s="3" t="s">
        <v>1484</v>
      </c>
      <c r="AW109" s="3" t="s">
        <v>1485</v>
      </c>
      <c r="AX109" s="3" t="s">
        <v>1485</v>
      </c>
      <c r="AY109" s="3" t="s">
        <v>1486</v>
      </c>
      <c r="AZ109" s="3" t="s">
        <v>74</v>
      </c>
      <c r="BB109" s="3" t="s">
        <v>1487</v>
      </c>
      <c r="BC109" s="3" t="s">
        <v>1488</v>
      </c>
      <c r="BD109" s="3" t="s">
        <v>1489</v>
      </c>
    </row>
    <row r="110" spans="1:56" ht="40.5" customHeight="1" x14ac:dyDescent="0.25">
      <c r="A110" s="7" t="s">
        <v>58</v>
      </c>
      <c r="B110" s="2" t="s">
        <v>1490</v>
      </c>
      <c r="C110" s="2" t="s">
        <v>1491</v>
      </c>
      <c r="D110" s="2" t="s">
        <v>1492</v>
      </c>
      <c r="F110" s="3" t="s">
        <v>58</v>
      </c>
      <c r="G110" s="3" t="s">
        <v>59</v>
      </c>
      <c r="H110" s="3" t="s">
        <v>58</v>
      </c>
      <c r="I110" s="3" t="s">
        <v>80</v>
      </c>
      <c r="J110" s="3" t="s">
        <v>60</v>
      </c>
      <c r="K110" s="2" t="s">
        <v>1493</v>
      </c>
      <c r="L110" s="2" t="s">
        <v>1494</v>
      </c>
      <c r="M110" s="3" t="s">
        <v>378</v>
      </c>
      <c r="N110" s="2" t="s">
        <v>662</v>
      </c>
      <c r="O110" s="3" t="s">
        <v>65</v>
      </c>
      <c r="P110" s="3" t="s">
        <v>66</v>
      </c>
      <c r="Q110" s="2" t="s">
        <v>1495</v>
      </c>
      <c r="R110" s="3" t="s">
        <v>67</v>
      </c>
      <c r="S110" s="4">
        <v>1</v>
      </c>
      <c r="T110" s="4">
        <v>1</v>
      </c>
      <c r="U110" s="5" t="s">
        <v>1496</v>
      </c>
      <c r="V110" s="5" t="s">
        <v>1496</v>
      </c>
      <c r="W110" s="5" t="s">
        <v>1497</v>
      </c>
      <c r="X110" s="5" t="s">
        <v>1497</v>
      </c>
      <c r="Y110" s="4">
        <v>179</v>
      </c>
      <c r="Z110" s="4">
        <v>155</v>
      </c>
      <c r="AA110" s="4">
        <v>498</v>
      </c>
      <c r="AB110" s="4">
        <v>2</v>
      </c>
      <c r="AC110" s="4">
        <v>5</v>
      </c>
      <c r="AD110" s="4">
        <v>6</v>
      </c>
      <c r="AE110" s="4">
        <v>26</v>
      </c>
      <c r="AF110" s="4">
        <v>1</v>
      </c>
      <c r="AG110" s="4">
        <v>6</v>
      </c>
      <c r="AH110" s="4">
        <v>1</v>
      </c>
      <c r="AI110" s="4">
        <v>4</v>
      </c>
      <c r="AJ110" s="4">
        <v>0</v>
      </c>
      <c r="AK110" s="4">
        <v>5</v>
      </c>
      <c r="AL110" s="4">
        <v>1</v>
      </c>
      <c r="AM110" s="4">
        <v>2</v>
      </c>
      <c r="AN110" s="4">
        <v>3</v>
      </c>
      <c r="AO110" s="4">
        <v>12</v>
      </c>
      <c r="AP110" s="3" t="s">
        <v>58</v>
      </c>
      <c r="AQ110" s="3" t="s">
        <v>80</v>
      </c>
      <c r="AR110" s="6" t="str">
        <f>HYPERLINK("http://catalog.hathitrust.org/Record/102001412","HathiTrust Record")</f>
        <v>HathiTrust Record</v>
      </c>
      <c r="AS110" s="6" t="str">
        <f>HYPERLINK("https://creighton-primo.hosted.exlibrisgroup.com/primo-explore/search?tab=default_tab&amp;search_scope=EVERYTHING&amp;vid=01CRU&amp;lang=en_US&amp;offset=0&amp;query=any,contains,991000053969702656","Catalog Record")</f>
        <v>Catalog Record</v>
      </c>
      <c r="AT110" s="6" t="str">
        <f>HYPERLINK("http://www.worldcat.org/oclc/23179","WorldCat Record")</f>
        <v>WorldCat Record</v>
      </c>
      <c r="AU110" s="3" t="s">
        <v>1498</v>
      </c>
      <c r="AV110" s="3" t="s">
        <v>1499</v>
      </c>
      <c r="AW110" s="3" t="s">
        <v>1500</v>
      </c>
      <c r="AX110" s="3" t="s">
        <v>1500</v>
      </c>
      <c r="AY110" s="3" t="s">
        <v>1501</v>
      </c>
      <c r="AZ110" s="3" t="s">
        <v>74</v>
      </c>
      <c r="BB110" s="3" t="s">
        <v>1502</v>
      </c>
      <c r="BC110" s="3" t="s">
        <v>1503</v>
      </c>
      <c r="BD110" s="3" t="s">
        <v>1504</v>
      </c>
    </row>
    <row r="111" spans="1:56" ht="40.5" customHeight="1" x14ac:dyDescent="0.25">
      <c r="A111" s="7" t="s">
        <v>58</v>
      </c>
      <c r="B111" s="2" t="s">
        <v>1505</v>
      </c>
      <c r="C111" s="2" t="s">
        <v>1506</v>
      </c>
      <c r="D111" s="2" t="s">
        <v>1507</v>
      </c>
      <c r="F111" s="3" t="s">
        <v>58</v>
      </c>
      <c r="G111" s="3" t="s">
        <v>59</v>
      </c>
      <c r="H111" s="3" t="s">
        <v>58</v>
      </c>
      <c r="I111" s="3" t="s">
        <v>58</v>
      </c>
      <c r="J111" s="3" t="s">
        <v>60</v>
      </c>
      <c r="K111" s="2" t="s">
        <v>1508</v>
      </c>
      <c r="L111" s="2" t="s">
        <v>1509</v>
      </c>
      <c r="M111" s="3" t="s">
        <v>378</v>
      </c>
      <c r="O111" s="3" t="s">
        <v>65</v>
      </c>
      <c r="P111" s="3" t="s">
        <v>66</v>
      </c>
      <c r="R111" s="3" t="s">
        <v>67</v>
      </c>
      <c r="S111" s="4">
        <v>1</v>
      </c>
      <c r="T111" s="4">
        <v>1</v>
      </c>
      <c r="U111" s="5" t="s">
        <v>1510</v>
      </c>
      <c r="V111" s="5" t="s">
        <v>1510</v>
      </c>
      <c r="W111" s="5" t="s">
        <v>812</v>
      </c>
      <c r="X111" s="5" t="s">
        <v>812</v>
      </c>
      <c r="Y111" s="4">
        <v>131</v>
      </c>
      <c r="Z111" s="4">
        <v>118</v>
      </c>
      <c r="AA111" s="4">
        <v>310</v>
      </c>
      <c r="AB111" s="4">
        <v>1</v>
      </c>
      <c r="AC111" s="4">
        <v>2</v>
      </c>
      <c r="AD111" s="4">
        <v>7</v>
      </c>
      <c r="AE111" s="4">
        <v>14</v>
      </c>
      <c r="AF111" s="4">
        <v>1</v>
      </c>
      <c r="AG111" s="4">
        <v>3</v>
      </c>
      <c r="AH111" s="4">
        <v>3</v>
      </c>
      <c r="AI111" s="4">
        <v>4</v>
      </c>
      <c r="AJ111" s="4">
        <v>6</v>
      </c>
      <c r="AK111" s="4">
        <v>10</v>
      </c>
      <c r="AL111" s="4">
        <v>0</v>
      </c>
      <c r="AM111" s="4">
        <v>1</v>
      </c>
      <c r="AN111" s="4">
        <v>0</v>
      </c>
      <c r="AO111" s="4">
        <v>0</v>
      </c>
      <c r="AP111" s="3" t="s">
        <v>58</v>
      </c>
      <c r="AQ111" s="3" t="s">
        <v>80</v>
      </c>
      <c r="AR111" s="6" t="str">
        <f>HYPERLINK("http://catalog.hathitrust.org/Record/009984375","HathiTrust Record")</f>
        <v>HathiTrust Record</v>
      </c>
      <c r="AS111" s="6" t="str">
        <f>HYPERLINK("https://creighton-primo.hosted.exlibrisgroup.com/primo-explore/search?tab=default_tab&amp;search_scope=EVERYTHING&amp;vid=01CRU&amp;lang=en_US&amp;offset=0&amp;query=any,contains,991000003519702656","Catalog Record")</f>
        <v>Catalog Record</v>
      </c>
      <c r="AT111" s="6" t="str">
        <f>HYPERLINK("http://www.worldcat.org/oclc/12142","WorldCat Record")</f>
        <v>WorldCat Record</v>
      </c>
      <c r="AU111" s="3" t="s">
        <v>1511</v>
      </c>
      <c r="AV111" s="3" t="s">
        <v>1512</v>
      </c>
      <c r="AW111" s="3" t="s">
        <v>1513</v>
      </c>
      <c r="AX111" s="3" t="s">
        <v>1513</v>
      </c>
      <c r="AY111" s="3" t="s">
        <v>1514</v>
      </c>
      <c r="AZ111" s="3" t="s">
        <v>74</v>
      </c>
      <c r="BB111" s="3" t="s">
        <v>1515</v>
      </c>
      <c r="BC111" s="3" t="s">
        <v>1516</v>
      </c>
      <c r="BD111" s="3" t="s">
        <v>1517</v>
      </c>
    </row>
    <row r="112" spans="1:56" ht="40.5" customHeight="1" x14ac:dyDescent="0.25">
      <c r="A112" s="7" t="s">
        <v>58</v>
      </c>
      <c r="B112" s="2" t="s">
        <v>1518</v>
      </c>
      <c r="C112" s="2" t="s">
        <v>1519</v>
      </c>
      <c r="D112" s="2" t="s">
        <v>1520</v>
      </c>
      <c r="F112" s="3" t="s">
        <v>58</v>
      </c>
      <c r="G112" s="3" t="s">
        <v>59</v>
      </c>
      <c r="H112" s="3" t="s">
        <v>80</v>
      </c>
      <c r="I112" s="3" t="s">
        <v>58</v>
      </c>
      <c r="J112" s="3" t="s">
        <v>60</v>
      </c>
      <c r="K112" s="2" t="s">
        <v>1521</v>
      </c>
      <c r="L112" s="2" t="s">
        <v>1522</v>
      </c>
      <c r="M112" s="3" t="s">
        <v>378</v>
      </c>
      <c r="O112" s="3" t="s">
        <v>65</v>
      </c>
      <c r="P112" s="3" t="s">
        <v>1523</v>
      </c>
      <c r="Q112" s="2" t="s">
        <v>1524</v>
      </c>
      <c r="R112" s="3" t="s">
        <v>67</v>
      </c>
      <c r="S112" s="4">
        <v>0</v>
      </c>
      <c r="T112" s="4">
        <v>4</v>
      </c>
      <c r="V112" s="5" t="s">
        <v>1525</v>
      </c>
      <c r="W112" s="5" t="s">
        <v>1275</v>
      </c>
      <c r="X112" s="5" t="s">
        <v>1275</v>
      </c>
      <c r="Y112" s="4">
        <v>351</v>
      </c>
      <c r="Z112" s="4">
        <v>309</v>
      </c>
      <c r="AA112" s="4">
        <v>312</v>
      </c>
      <c r="AB112" s="4">
        <v>5</v>
      </c>
      <c r="AC112" s="4">
        <v>5</v>
      </c>
      <c r="AD112" s="4">
        <v>22</v>
      </c>
      <c r="AE112" s="4">
        <v>22</v>
      </c>
      <c r="AF112" s="4">
        <v>4</v>
      </c>
      <c r="AG112" s="4">
        <v>4</v>
      </c>
      <c r="AH112" s="4">
        <v>2</v>
      </c>
      <c r="AI112" s="4">
        <v>2</v>
      </c>
      <c r="AJ112" s="4">
        <v>7</v>
      </c>
      <c r="AK112" s="4">
        <v>7</v>
      </c>
      <c r="AL112" s="4">
        <v>2</v>
      </c>
      <c r="AM112" s="4">
        <v>2</v>
      </c>
      <c r="AN112" s="4">
        <v>10</v>
      </c>
      <c r="AO112" s="4">
        <v>10</v>
      </c>
      <c r="AP112" s="3" t="s">
        <v>58</v>
      </c>
      <c r="AQ112" s="3" t="s">
        <v>80</v>
      </c>
      <c r="AR112" s="6" t="str">
        <f>HYPERLINK("http://catalog.hathitrust.org/Record/000000337","HathiTrust Record")</f>
        <v>HathiTrust Record</v>
      </c>
      <c r="AS112" s="6" t="str">
        <f>HYPERLINK("https://creighton-primo.hosted.exlibrisgroup.com/primo-explore/search?tab=default_tab&amp;search_scope=EVERYTHING&amp;vid=01CRU&amp;lang=en_US&amp;offset=0&amp;query=any,contains,991001635179702656","Catalog Record")</f>
        <v>Catalog Record</v>
      </c>
      <c r="AT112" s="6" t="str">
        <f>HYPERLINK("http://www.worldcat.org/oclc/32464","WorldCat Record")</f>
        <v>WorldCat Record</v>
      </c>
      <c r="AU112" s="3" t="s">
        <v>1526</v>
      </c>
      <c r="AV112" s="3" t="s">
        <v>1527</v>
      </c>
      <c r="AW112" s="3" t="s">
        <v>1528</v>
      </c>
      <c r="AX112" s="3" t="s">
        <v>1528</v>
      </c>
      <c r="AY112" s="3" t="s">
        <v>1529</v>
      </c>
      <c r="AZ112" s="3" t="s">
        <v>74</v>
      </c>
      <c r="BC112" s="3" t="s">
        <v>1530</v>
      </c>
      <c r="BD112" s="3" t="s">
        <v>1531</v>
      </c>
    </row>
    <row r="113" spans="1:56" ht="40.5" customHeight="1" x14ac:dyDescent="0.25">
      <c r="A113" s="7" t="s">
        <v>58</v>
      </c>
      <c r="B113" s="2" t="s">
        <v>1532</v>
      </c>
      <c r="C113" s="2" t="s">
        <v>1533</v>
      </c>
      <c r="D113" s="2" t="s">
        <v>1534</v>
      </c>
      <c r="F113" s="3" t="s">
        <v>58</v>
      </c>
      <c r="G113" s="3" t="s">
        <v>59</v>
      </c>
      <c r="H113" s="3" t="s">
        <v>80</v>
      </c>
      <c r="I113" s="3" t="s">
        <v>58</v>
      </c>
      <c r="J113" s="3" t="s">
        <v>60</v>
      </c>
      <c r="K113" s="2" t="s">
        <v>1535</v>
      </c>
      <c r="L113" s="2" t="s">
        <v>1536</v>
      </c>
      <c r="M113" s="3" t="s">
        <v>479</v>
      </c>
      <c r="O113" s="3" t="s">
        <v>65</v>
      </c>
      <c r="P113" s="3" t="s">
        <v>1523</v>
      </c>
      <c r="Q113" s="2" t="s">
        <v>1537</v>
      </c>
      <c r="R113" s="3" t="s">
        <v>67</v>
      </c>
      <c r="S113" s="4">
        <v>1</v>
      </c>
      <c r="T113" s="4">
        <v>1</v>
      </c>
      <c r="U113" s="5" t="s">
        <v>1538</v>
      </c>
      <c r="V113" s="5" t="s">
        <v>1538</v>
      </c>
      <c r="W113" s="5" t="s">
        <v>1539</v>
      </c>
      <c r="X113" s="5" t="s">
        <v>1539</v>
      </c>
      <c r="Y113" s="4">
        <v>274</v>
      </c>
      <c r="Z113" s="4">
        <v>230</v>
      </c>
      <c r="AA113" s="4">
        <v>461</v>
      </c>
      <c r="AB113" s="4">
        <v>3</v>
      </c>
      <c r="AC113" s="4">
        <v>3</v>
      </c>
      <c r="AD113" s="4">
        <v>12</v>
      </c>
      <c r="AE113" s="4">
        <v>25</v>
      </c>
      <c r="AF113" s="4">
        <v>0</v>
      </c>
      <c r="AG113" s="4">
        <v>7</v>
      </c>
      <c r="AH113" s="4">
        <v>2</v>
      </c>
      <c r="AI113" s="4">
        <v>5</v>
      </c>
      <c r="AJ113" s="4">
        <v>8</v>
      </c>
      <c r="AK113" s="4">
        <v>12</v>
      </c>
      <c r="AL113" s="4">
        <v>1</v>
      </c>
      <c r="AM113" s="4">
        <v>1</v>
      </c>
      <c r="AN113" s="4">
        <v>2</v>
      </c>
      <c r="AO113" s="4">
        <v>5</v>
      </c>
      <c r="AP113" s="3" t="s">
        <v>80</v>
      </c>
      <c r="AQ113" s="3" t="s">
        <v>58</v>
      </c>
      <c r="AR113" s="6" t="str">
        <f>HYPERLINK("http://catalog.hathitrust.org/Record/001129204","HathiTrust Record")</f>
        <v>HathiTrust Record</v>
      </c>
      <c r="AS113" s="6" t="str">
        <f>HYPERLINK("https://creighton-primo.hosted.exlibrisgroup.com/primo-explore/search?tab=default_tab&amp;search_scope=EVERYTHING&amp;vid=01CRU&amp;lang=en_US&amp;offset=0&amp;query=any,contains,991001631699702656","Catalog Record")</f>
        <v>Catalog Record</v>
      </c>
      <c r="AT113" s="6" t="str">
        <f>HYPERLINK("http://www.worldcat.org/oclc/362306","WorldCat Record")</f>
        <v>WorldCat Record</v>
      </c>
      <c r="AU113" s="3" t="s">
        <v>1540</v>
      </c>
      <c r="AV113" s="3" t="s">
        <v>1541</v>
      </c>
      <c r="AW113" s="3" t="s">
        <v>1542</v>
      </c>
      <c r="AX113" s="3" t="s">
        <v>1542</v>
      </c>
      <c r="AY113" s="3" t="s">
        <v>1543</v>
      </c>
      <c r="AZ113" s="3" t="s">
        <v>74</v>
      </c>
      <c r="BC113" s="3" t="s">
        <v>1544</v>
      </c>
      <c r="BD113" s="3" t="s">
        <v>1545</v>
      </c>
    </row>
    <row r="114" spans="1:56" ht="40.5" customHeight="1" x14ac:dyDescent="0.25">
      <c r="A114" s="7" t="s">
        <v>58</v>
      </c>
      <c r="B114" s="2" t="s">
        <v>1546</v>
      </c>
      <c r="C114" s="2" t="s">
        <v>1547</v>
      </c>
      <c r="D114" s="2" t="s">
        <v>1548</v>
      </c>
      <c r="F114" s="3" t="s">
        <v>58</v>
      </c>
      <c r="G114" s="3" t="s">
        <v>59</v>
      </c>
      <c r="H114" s="3" t="s">
        <v>58</v>
      </c>
      <c r="I114" s="3" t="s">
        <v>58</v>
      </c>
      <c r="J114" s="3" t="s">
        <v>60</v>
      </c>
      <c r="K114" s="2" t="s">
        <v>1549</v>
      </c>
      <c r="L114" s="2" t="s">
        <v>1550</v>
      </c>
      <c r="M114" s="3" t="s">
        <v>1551</v>
      </c>
      <c r="N114" s="2" t="s">
        <v>64</v>
      </c>
      <c r="O114" s="3" t="s">
        <v>65</v>
      </c>
      <c r="P114" s="3" t="s">
        <v>66</v>
      </c>
      <c r="R114" s="3" t="s">
        <v>67</v>
      </c>
      <c r="S114" s="4">
        <v>1</v>
      </c>
      <c r="T114" s="4">
        <v>1</v>
      </c>
      <c r="U114" s="5" t="s">
        <v>1552</v>
      </c>
      <c r="V114" s="5" t="s">
        <v>1552</v>
      </c>
      <c r="W114" s="5" t="s">
        <v>1201</v>
      </c>
      <c r="X114" s="5" t="s">
        <v>1201</v>
      </c>
      <c r="Y114" s="4">
        <v>619</v>
      </c>
      <c r="Z114" s="4">
        <v>571</v>
      </c>
      <c r="AA114" s="4">
        <v>574</v>
      </c>
      <c r="AB114" s="4">
        <v>6</v>
      </c>
      <c r="AC114" s="4">
        <v>6</v>
      </c>
      <c r="AD114" s="4">
        <v>29</v>
      </c>
      <c r="AE114" s="4">
        <v>29</v>
      </c>
      <c r="AF114" s="4">
        <v>8</v>
      </c>
      <c r="AG114" s="4">
        <v>8</v>
      </c>
      <c r="AH114" s="4">
        <v>5</v>
      </c>
      <c r="AI114" s="4">
        <v>5</v>
      </c>
      <c r="AJ114" s="4">
        <v>15</v>
      </c>
      <c r="AK114" s="4">
        <v>15</v>
      </c>
      <c r="AL114" s="4">
        <v>5</v>
      </c>
      <c r="AM114" s="4">
        <v>5</v>
      </c>
      <c r="AN114" s="4">
        <v>0</v>
      </c>
      <c r="AO114" s="4">
        <v>0</v>
      </c>
      <c r="AP114" s="3" t="s">
        <v>58</v>
      </c>
      <c r="AQ114" s="3" t="s">
        <v>80</v>
      </c>
      <c r="AR114" s="6" t="str">
        <f>HYPERLINK("http://catalog.hathitrust.org/Record/010108572","HathiTrust Record")</f>
        <v>HathiTrust Record</v>
      </c>
      <c r="AS114" s="6" t="str">
        <f>HYPERLINK("https://creighton-primo.hosted.exlibrisgroup.com/primo-explore/search?tab=default_tab&amp;search_scope=EVERYTHING&amp;vid=01CRU&amp;lang=en_US&amp;offset=0&amp;query=any,contains,991004689779702656","Catalog Record")</f>
        <v>Catalog Record</v>
      </c>
      <c r="AT114" s="6" t="str">
        <f>HYPERLINK("http://www.worldcat.org/oclc/4601254","WorldCat Record")</f>
        <v>WorldCat Record</v>
      </c>
      <c r="AU114" s="3" t="s">
        <v>1553</v>
      </c>
      <c r="AV114" s="3" t="s">
        <v>1554</v>
      </c>
      <c r="AW114" s="3" t="s">
        <v>1555</v>
      </c>
      <c r="AX114" s="3" t="s">
        <v>1555</v>
      </c>
      <c r="AY114" s="3" t="s">
        <v>1556</v>
      </c>
      <c r="AZ114" s="3" t="s">
        <v>74</v>
      </c>
      <c r="BC114" s="3" t="s">
        <v>1557</v>
      </c>
      <c r="BD114" s="3" t="s">
        <v>1558</v>
      </c>
    </row>
    <row r="115" spans="1:56" ht="40.5" customHeight="1" x14ac:dyDescent="0.25">
      <c r="A115" s="7" t="s">
        <v>58</v>
      </c>
      <c r="B115" s="2" t="s">
        <v>1559</v>
      </c>
      <c r="C115" s="2" t="s">
        <v>1560</v>
      </c>
      <c r="D115" s="2" t="s">
        <v>1561</v>
      </c>
      <c r="F115" s="3" t="s">
        <v>58</v>
      </c>
      <c r="G115" s="3" t="s">
        <v>59</v>
      </c>
      <c r="H115" s="3" t="s">
        <v>80</v>
      </c>
      <c r="I115" s="3" t="s">
        <v>58</v>
      </c>
      <c r="J115" s="3" t="s">
        <v>60</v>
      </c>
      <c r="K115" s="2" t="s">
        <v>1562</v>
      </c>
      <c r="L115" s="2" t="s">
        <v>1563</v>
      </c>
      <c r="M115" s="3" t="s">
        <v>1564</v>
      </c>
      <c r="O115" s="3" t="s">
        <v>65</v>
      </c>
      <c r="P115" s="3" t="s">
        <v>169</v>
      </c>
      <c r="R115" s="3" t="s">
        <v>67</v>
      </c>
      <c r="S115" s="4">
        <v>1</v>
      </c>
      <c r="T115" s="4">
        <v>1</v>
      </c>
      <c r="U115" s="5" t="s">
        <v>1565</v>
      </c>
      <c r="V115" s="5" t="s">
        <v>1565</v>
      </c>
      <c r="W115" s="5" t="s">
        <v>812</v>
      </c>
      <c r="X115" s="5" t="s">
        <v>812</v>
      </c>
      <c r="Y115" s="4">
        <v>700</v>
      </c>
      <c r="Z115" s="4">
        <v>604</v>
      </c>
      <c r="AA115" s="4">
        <v>623</v>
      </c>
      <c r="AB115" s="4">
        <v>5</v>
      </c>
      <c r="AC115" s="4">
        <v>5</v>
      </c>
      <c r="AD115" s="4">
        <v>33</v>
      </c>
      <c r="AE115" s="4">
        <v>33</v>
      </c>
      <c r="AF115" s="4">
        <v>11</v>
      </c>
      <c r="AG115" s="4">
        <v>11</v>
      </c>
      <c r="AH115" s="4">
        <v>7</v>
      </c>
      <c r="AI115" s="4">
        <v>7</v>
      </c>
      <c r="AJ115" s="4">
        <v>15</v>
      </c>
      <c r="AK115" s="4">
        <v>15</v>
      </c>
      <c r="AL115" s="4">
        <v>3</v>
      </c>
      <c r="AM115" s="4">
        <v>3</v>
      </c>
      <c r="AN115" s="4">
        <v>4</v>
      </c>
      <c r="AO115" s="4">
        <v>4</v>
      </c>
      <c r="AP115" s="3" t="s">
        <v>58</v>
      </c>
      <c r="AQ115" s="3" t="s">
        <v>58</v>
      </c>
      <c r="AS115" s="6" t="str">
        <f>HYPERLINK("https://creighton-primo.hosted.exlibrisgroup.com/primo-explore/search?tab=default_tab&amp;search_scope=EVERYTHING&amp;vid=01CRU&amp;lang=en_US&amp;offset=0&amp;query=any,contains,991001670359702656","Catalog Record")</f>
        <v>Catalog Record</v>
      </c>
      <c r="AT115" s="6" t="str">
        <f>HYPERLINK("http://www.worldcat.org/oclc/701573","WorldCat Record")</f>
        <v>WorldCat Record</v>
      </c>
      <c r="AU115" s="3" t="s">
        <v>1566</v>
      </c>
      <c r="AV115" s="3" t="s">
        <v>1567</v>
      </c>
      <c r="AW115" s="3" t="s">
        <v>1568</v>
      </c>
      <c r="AX115" s="3" t="s">
        <v>1568</v>
      </c>
      <c r="AY115" s="3" t="s">
        <v>1569</v>
      </c>
      <c r="AZ115" s="3" t="s">
        <v>74</v>
      </c>
      <c r="BB115" s="3" t="s">
        <v>1570</v>
      </c>
      <c r="BC115" s="3" t="s">
        <v>1571</v>
      </c>
      <c r="BD115" s="3" t="s">
        <v>1572</v>
      </c>
    </row>
    <row r="116" spans="1:56" ht="40.5" customHeight="1" x14ac:dyDescent="0.25">
      <c r="A116" s="7" t="s">
        <v>58</v>
      </c>
      <c r="B116" s="2" t="s">
        <v>1573</v>
      </c>
      <c r="C116" s="2" t="s">
        <v>1574</v>
      </c>
      <c r="D116" s="2" t="s">
        <v>1575</v>
      </c>
      <c r="F116" s="3" t="s">
        <v>58</v>
      </c>
      <c r="G116" s="3" t="s">
        <v>59</v>
      </c>
      <c r="H116" s="3" t="s">
        <v>58</v>
      </c>
      <c r="I116" s="3" t="s">
        <v>58</v>
      </c>
      <c r="J116" s="3" t="s">
        <v>60</v>
      </c>
      <c r="K116" s="2" t="s">
        <v>1576</v>
      </c>
      <c r="L116" s="2" t="s">
        <v>1577</v>
      </c>
      <c r="M116" s="3" t="s">
        <v>1564</v>
      </c>
      <c r="O116" s="3" t="s">
        <v>65</v>
      </c>
      <c r="P116" s="3" t="s">
        <v>155</v>
      </c>
      <c r="Q116" s="2" t="s">
        <v>1578</v>
      </c>
      <c r="R116" s="3" t="s">
        <v>67</v>
      </c>
      <c r="S116" s="4">
        <v>1</v>
      </c>
      <c r="T116" s="4">
        <v>1</v>
      </c>
      <c r="U116" s="5" t="s">
        <v>1579</v>
      </c>
      <c r="V116" s="5" t="s">
        <v>1579</v>
      </c>
      <c r="W116" s="5" t="s">
        <v>812</v>
      </c>
      <c r="X116" s="5" t="s">
        <v>812</v>
      </c>
      <c r="Y116" s="4">
        <v>491</v>
      </c>
      <c r="Z116" s="4">
        <v>390</v>
      </c>
      <c r="AA116" s="4">
        <v>393</v>
      </c>
      <c r="AB116" s="4">
        <v>3</v>
      </c>
      <c r="AC116" s="4">
        <v>3</v>
      </c>
      <c r="AD116" s="4">
        <v>21</v>
      </c>
      <c r="AE116" s="4">
        <v>21</v>
      </c>
      <c r="AF116" s="4">
        <v>8</v>
      </c>
      <c r="AG116" s="4">
        <v>8</v>
      </c>
      <c r="AH116" s="4">
        <v>5</v>
      </c>
      <c r="AI116" s="4">
        <v>5</v>
      </c>
      <c r="AJ116" s="4">
        <v>9</v>
      </c>
      <c r="AK116" s="4">
        <v>9</v>
      </c>
      <c r="AL116" s="4">
        <v>2</v>
      </c>
      <c r="AM116" s="4">
        <v>2</v>
      </c>
      <c r="AN116" s="4">
        <v>2</v>
      </c>
      <c r="AO116" s="4">
        <v>2</v>
      </c>
      <c r="AP116" s="3" t="s">
        <v>58</v>
      </c>
      <c r="AQ116" s="3" t="s">
        <v>80</v>
      </c>
      <c r="AR116" s="6" t="str">
        <f>HYPERLINK("http://catalog.hathitrust.org/Record/001126746","HathiTrust Record")</f>
        <v>HathiTrust Record</v>
      </c>
      <c r="AS116" s="6" t="str">
        <f>HYPERLINK("https://creighton-primo.hosted.exlibrisgroup.com/primo-explore/search?tab=default_tab&amp;search_scope=EVERYTHING&amp;vid=01CRU&amp;lang=en_US&amp;offset=0&amp;query=any,contains,991003274939702656","Catalog Record")</f>
        <v>Catalog Record</v>
      </c>
      <c r="AT116" s="6" t="str">
        <f>HYPERLINK("http://www.worldcat.org/oclc/799556","WorldCat Record")</f>
        <v>WorldCat Record</v>
      </c>
      <c r="AU116" s="3" t="s">
        <v>1580</v>
      </c>
      <c r="AV116" s="3" t="s">
        <v>1581</v>
      </c>
      <c r="AW116" s="3" t="s">
        <v>1582</v>
      </c>
      <c r="AX116" s="3" t="s">
        <v>1582</v>
      </c>
      <c r="AY116" s="3" t="s">
        <v>1583</v>
      </c>
      <c r="AZ116" s="3" t="s">
        <v>74</v>
      </c>
      <c r="BC116" s="3" t="s">
        <v>1584</v>
      </c>
      <c r="BD116" s="3" t="s">
        <v>1585</v>
      </c>
    </row>
    <row r="117" spans="1:56" ht="40.5" customHeight="1" x14ac:dyDescent="0.25">
      <c r="A117" s="7" t="s">
        <v>58</v>
      </c>
      <c r="B117" s="2" t="s">
        <v>1586</v>
      </c>
      <c r="C117" s="2" t="s">
        <v>1587</v>
      </c>
      <c r="D117" s="2" t="s">
        <v>1588</v>
      </c>
      <c r="F117" s="3" t="s">
        <v>58</v>
      </c>
      <c r="G117" s="3" t="s">
        <v>59</v>
      </c>
      <c r="H117" s="3" t="s">
        <v>58</v>
      </c>
      <c r="I117" s="3" t="s">
        <v>58</v>
      </c>
      <c r="J117" s="3" t="s">
        <v>60</v>
      </c>
      <c r="K117" s="2" t="s">
        <v>1589</v>
      </c>
      <c r="L117" s="2" t="s">
        <v>1590</v>
      </c>
      <c r="M117" s="3" t="s">
        <v>1564</v>
      </c>
      <c r="O117" s="3" t="s">
        <v>65</v>
      </c>
      <c r="P117" s="3" t="s">
        <v>155</v>
      </c>
      <c r="R117" s="3" t="s">
        <v>67</v>
      </c>
      <c r="S117" s="4">
        <v>1</v>
      </c>
      <c r="T117" s="4">
        <v>1</v>
      </c>
      <c r="U117" s="5" t="s">
        <v>1591</v>
      </c>
      <c r="V117" s="5" t="s">
        <v>1591</v>
      </c>
      <c r="W117" s="5" t="s">
        <v>69</v>
      </c>
      <c r="X117" s="5" t="s">
        <v>69</v>
      </c>
      <c r="Y117" s="4">
        <v>315</v>
      </c>
      <c r="Z117" s="4">
        <v>289</v>
      </c>
      <c r="AA117" s="4">
        <v>292</v>
      </c>
      <c r="AB117" s="4">
        <v>3</v>
      </c>
      <c r="AC117" s="4">
        <v>3</v>
      </c>
      <c r="AD117" s="4">
        <v>14</v>
      </c>
      <c r="AE117" s="4">
        <v>14</v>
      </c>
      <c r="AF117" s="4">
        <v>5</v>
      </c>
      <c r="AG117" s="4">
        <v>5</v>
      </c>
      <c r="AH117" s="4">
        <v>3</v>
      </c>
      <c r="AI117" s="4">
        <v>3</v>
      </c>
      <c r="AJ117" s="4">
        <v>6</v>
      </c>
      <c r="AK117" s="4">
        <v>6</v>
      </c>
      <c r="AL117" s="4">
        <v>2</v>
      </c>
      <c r="AM117" s="4">
        <v>2</v>
      </c>
      <c r="AN117" s="4">
        <v>1</v>
      </c>
      <c r="AO117" s="4">
        <v>1</v>
      </c>
      <c r="AP117" s="3" t="s">
        <v>58</v>
      </c>
      <c r="AQ117" s="3" t="s">
        <v>58</v>
      </c>
      <c r="AS117" s="6" t="str">
        <f>HYPERLINK("https://creighton-primo.hosted.exlibrisgroup.com/primo-explore/search?tab=default_tab&amp;search_scope=EVERYTHING&amp;vid=01CRU&amp;lang=en_US&amp;offset=0&amp;query=any,contains,991003376799702656","Catalog Record")</f>
        <v>Catalog Record</v>
      </c>
      <c r="AT117" s="6" t="str">
        <f>HYPERLINK("http://www.worldcat.org/oclc/913840","WorldCat Record")</f>
        <v>WorldCat Record</v>
      </c>
      <c r="AU117" s="3" t="s">
        <v>1592</v>
      </c>
      <c r="AV117" s="3" t="s">
        <v>1593</v>
      </c>
      <c r="AW117" s="3" t="s">
        <v>1594</v>
      </c>
      <c r="AX117" s="3" t="s">
        <v>1594</v>
      </c>
      <c r="AY117" s="3" t="s">
        <v>1595</v>
      </c>
      <c r="AZ117" s="3" t="s">
        <v>74</v>
      </c>
      <c r="BC117" s="3" t="s">
        <v>1596</v>
      </c>
      <c r="BD117" s="3" t="s">
        <v>1597</v>
      </c>
    </row>
    <row r="118" spans="1:56" ht="40.5" customHeight="1" x14ac:dyDescent="0.25">
      <c r="A118" s="7" t="s">
        <v>58</v>
      </c>
      <c r="B118" s="2" t="s">
        <v>1598</v>
      </c>
      <c r="C118" s="2" t="s">
        <v>1599</v>
      </c>
      <c r="D118" s="2" t="s">
        <v>1600</v>
      </c>
      <c r="F118" s="3" t="s">
        <v>58</v>
      </c>
      <c r="G118" s="3" t="s">
        <v>59</v>
      </c>
      <c r="H118" s="3" t="s">
        <v>58</v>
      </c>
      <c r="I118" s="3" t="s">
        <v>58</v>
      </c>
      <c r="J118" s="3" t="s">
        <v>60</v>
      </c>
      <c r="L118" s="2" t="s">
        <v>1601</v>
      </c>
      <c r="M118" s="3" t="s">
        <v>1156</v>
      </c>
      <c r="O118" s="3" t="s">
        <v>65</v>
      </c>
      <c r="P118" s="3" t="s">
        <v>275</v>
      </c>
      <c r="R118" s="3" t="s">
        <v>1602</v>
      </c>
      <c r="S118" s="4">
        <v>4</v>
      </c>
      <c r="T118" s="4">
        <v>4</v>
      </c>
      <c r="U118" s="5" t="s">
        <v>1603</v>
      </c>
      <c r="V118" s="5" t="s">
        <v>1603</v>
      </c>
      <c r="W118" s="5" t="s">
        <v>1604</v>
      </c>
      <c r="X118" s="5" t="s">
        <v>1604</v>
      </c>
      <c r="Y118" s="4">
        <v>251</v>
      </c>
      <c r="Z118" s="4">
        <v>144</v>
      </c>
      <c r="AA118" s="4">
        <v>150</v>
      </c>
      <c r="AB118" s="4">
        <v>2</v>
      </c>
      <c r="AC118" s="4">
        <v>2</v>
      </c>
      <c r="AD118" s="4">
        <v>10</v>
      </c>
      <c r="AE118" s="4">
        <v>10</v>
      </c>
      <c r="AF118" s="4">
        <v>1</v>
      </c>
      <c r="AG118" s="4">
        <v>1</v>
      </c>
      <c r="AH118" s="4">
        <v>4</v>
      </c>
      <c r="AI118" s="4">
        <v>4</v>
      </c>
      <c r="AJ118" s="4">
        <v>7</v>
      </c>
      <c r="AK118" s="4">
        <v>7</v>
      </c>
      <c r="AL118" s="4">
        <v>1</v>
      </c>
      <c r="AM118" s="4">
        <v>1</v>
      </c>
      <c r="AN118" s="4">
        <v>0</v>
      </c>
      <c r="AO118" s="4">
        <v>0</v>
      </c>
      <c r="AP118" s="3" t="s">
        <v>58</v>
      </c>
      <c r="AQ118" s="3" t="s">
        <v>80</v>
      </c>
      <c r="AR118" s="6" t="str">
        <f>HYPERLINK("http://catalog.hathitrust.org/Record/002630863","HathiTrust Record")</f>
        <v>HathiTrust Record</v>
      </c>
      <c r="AS118" s="6" t="str">
        <f>HYPERLINK("https://creighton-primo.hosted.exlibrisgroup.com/primo-explore/search?tab=default_tab&amp;search_scope=EVERYTHING&amp;vid=01CRU&amp;lang=en_US&amp;offset=0&amp;query=any,contains,991002124939702656","Catalog Record")</f>
        <v>Catalog Record</v>
      </c>
      <c r="AT118" s="6" t="str">
        <f>HYPERLINK("http://www.worldcat.org/oclc/27222719","WorldCat Record")</f>
        <v>WorldCat Record</v>
      </c>
      <c r="AU118" s="3" t="s">
        <v>1605</v>
      </c>
      <c r="AV118" s="3" t="s">
        <v>1606</v>
      </c>
      <c r="AW118" s="3" t="s">
        <v>1607</v>
      </c>
      <c r="AX118" s="3" t="s">
        <v>1607</v>
      </c>
      <c r="AY118" s="3" t="s">
        <v>1608</v>
      </c>
      <c r="AZ118" s="3" t="s">
        <v>74</v>
      </c>
      <c r="BB118" s="3" t="s">
        <v>1609</v>
      </c>
      <c r="BC118" s="3" t="s">
        <v>1610</v>
      </c>
      <c r="BD118" s="3" t="s">
        <v>1611</v>
      </c>
    </row>
    <row r="119" spans="1:56" ht="40.5" customHeight="1" x14ac:dyDescent="0.25">
      <c r="A119" s="7" t="s">
        <v>58</v>
      </c>
      <c r="B119" s="2" t="s">
        <v>1612</v>
      </c>
      <c r="C119" s="2" t="s">
        <v>1613</v>
      </c>
      <c r="D119" s="2" t="s">
        <v>1614</v>
      </c>
      <c r="F119" s="3" t="s">
        <v>58</v>
      </c>
      <c r="G119" s="3" t="s">
        <v>59</v>
      </c>
      <c r="H119" s="3" t="s">
        <v>58</v>
      </c>
      <c r="I119" s="3" t="s">
        <v>58</v>
      </c>
      <c r="J119" s="3" t="s">
        <v>60</v>
      </c>
      <c r="K119" s="2" t="s">
        <v>1615</v>
      </c>
      <c r="L119" s="2" t="s">
        <v>1616</v>
      </c>
      <c r="M119" s="3" t="s">
        <v>1617</v>
      </c>
      <c r="O119" s="3" t="s">
        <v>65</v>
      </c>
      <c r="P119" s="3" t="s">
        <v>740</v>
      </c>
      <c r="Q119" s="2" t="s">
        <v>1618</v>
      </c>
      <c r="R119" s="3" t="s">
        <v>1602</v>
      </c>
      <c r="S119" s="4">
        <v>1</v>
      </c>
      <c r="T119" s="4">
        <v>1</v>
      </c>
      <c r="U119" s="5" t="s">
        <v>1591</v>
      </c>
      <c r="V119" s="5" t="s">
        <v>1591</v>
      </c>
      <c r="W119" s="5" t="s">
        <v>1619</v>
      </c>
      <c r="X119" s="5" t="s">
        <v>1619</v>
      </c>
      <c r="Y119" s="4">
        <v>554</v>
      </c>
      <c r="Z119" s="4">
        <v>430</v>
      </c>
      <c r="AA119" s="4">
        <v>437</v>
      </c>
      <c r="AB119" s="4">
        <v>2</v>
      </c>
      <c r="AC119" s="4">
        <v>2</v>
      </c>
      <c r="AD119" s="4">
        <v>24</v>
      </c>
      <c r="AE119" s="4">
        <v>24</v>
      </c>
      <c r="AF119" s="4">
        <v>9</v>
      </c>
      <c r="AG119" s="4">
        <v>9</v>
      </c>
      <c r="AH119" s="4">
        <v>6</v>
      </c>
      <c r="AI119" s="4">
        <v>6</v>
      </c>
      <c r="AJ119" s="4">
        <v>13</v>
      </c>
      <c r="AK119" s="4">
        <v>13</v>
      </c>
      <c r="AL119" s="4">
        <v>1</v>
      </c>
      <c r="AM119" s="4">
        <v>1</v>
      </c>
      <c r="AN119" s="4">
        <v>0</v>
      </c>
      <c r="AO119" s="4">
        <v>0</v>
      </c>
      <c r="AP119" s="3" t="s">
        <v>58</v>
      </c>
      <c r="AQ119" s="3" t="s">
        <v>80</v>
      </c>
      <c r="AR119" s="6" t="str">
        <f>HYPERLINK("http://catalog.hathitrust.org/Record/001107157","HathiTrust Record")</f>
        <v>HathiTrust Record</v>
      </c>
      <c r="AS119" s="6" t="str">
        <f>HYPERLINK("https://creighton-primo.hosted.exlibrisgroup.com/primo-explore/search?tab=default_tab&amp;search_scope=EVERYTHING&amp;vid=01CRU&amp;lang=en_US&amp;offset=0&amp;query=any,contains,991002023249702656","Catalog Record")</f>
        <v>Catalog Record</v>
      </c>
      <c r="AT119" s="6" t="str">
        <f>HYPERLINK("http://www.worldcat.org/oclc/259546","WorldCat Record")</f>
        <v>WorldCat Record</v>
      </c>
      <c r="AU119" s="3" t="s">
        <v>1620</v>
      </c>
      <c r="AV119" s="3" t="s">
        <v>1621</v>
      </c>
      <c r="AW119" s="3" t="s">
        <v>1622</v>
      </c>
      <c r="AX119" s="3" t="s">
        <v>1622</v>
      </c>
      <c r="AY119" s="3" t="s">
        <v>1623</v>
      </c>
      <c r="AZ119" s="3" t="s">
        <v>74</v>
      </c>
      <c r="BC119" s="3" t="s">
        <v>1624</v>
      </c>
      <c r="BD119" s="3" t="s">
        <v>1625</v>
      </c>
    </row>
    <row r="120" spans="1:56" ht="40.5" customHeight="1" x14ac:dyDescent="0.25">
      <c r="A120" s="7" t="s">
        <v>58</v>
      </c>
      <c r="B120" s="2" t="s">
        <v>1626</v>
      </c>
      <c r="C120" s="2" t="s">
        <v>1627</v>
      </c>
      <c r="D120" s="2" t="s">
        <v>1628</v>
      </c>
      <c r="F120" s="3" t="s">
        <v>58</v>
      </c>
      <c r="G120" s="3" t="s">
        <v>59</v>
      </c>
      <c r="H120" s="3" t="s">
        <v>58</v>
      </c>
      <c r="I120" s="3" t="s">
        <v>58</v>
      </c>
      <c r="J120" s="3" t="s">
        <v>60</v>
      </c>
      <c r="L120" s="2" t="s">
        <v>1629</v>
      </c>
      <c r="M120" s="3" t="s">
        <v>168</v>
      </c>
      <c r="O120" s="3" t="s">
        <v>65</v>
      </c>
      <c r="P120" s="3" t="s">
        <v>275</v>
      </c>
      <c r="R120" s="3" t="s">
        <v>1602</v>
      </c>
      <c r="S120" s="4">
        <v>4</v>
      </c>
      <c r="T120" s="4">
        <v>4</v>
      </c>
      <c r="U120" s="5" t="s">
        <v>1630</v>
      </c>
      <c r="V120" s="5" t="s">
        <v>1630</v>
      </c>
      <c r="W120" s="5" t="s">
        <v>1631</v>
      </c>
      <c r="X120" s="5" t="s">
        <v>1631</v>
      </c>
      <c r="Y120" s="4">
        <v>635</v>
      </c>
      <c r="Z120" s="4">
        <v>500</v>
      </c>
      <c r="AA120" s="4">
        <v>513</v>
      </c>
      <c r="AB120" s="4">
        <v>1</v>
      </c>
      <c r="AC120" s="4">
        <v>1</v>
      </c>
      <c r="AD120" s="4">
        <v>25</v>
      </c>
      <c r="AE120" s="4">
        <v>26</v>
      </c>
      <c r="AF120" s="4">
        <v>10</v>
      </c>
      <c r="AG120" s="4">
        <v>11</v>
      </c>
      <c r="AH120" s="4">
        <v>9</v>
      </c>
      <c r="AI120" s="4">
        <v>9</v>
      </c>
      <c r="AJ120" s="4">
        <v>13</v>
      </c>
      <c r="AK120" s="4">
        <v>14</v>
      </c>
      <c r="AL120" s="4">
        <v>0</v>
      </c>
      <c r="AM120" s="4">
        <v>0</v>
      </c>
      <c r="AN120" s="4">
        <v>0</v>
      </c>
      <c r="AO120" s="4">
        <v>0</v>
      </c>
      <c r="AP120" s="3" t="s">
        <v>58</v>
      </c>
      <c r="AQ120" s="3" t="s">
        <v>58</v>
      </c>
      <c r="AS120" s="6" t="str">
        <f>HYPERLINK("https://creighton-primo.hosted.exlibrisgroup.com/primo-explore/search?tab=default_tab&amp;search_scope=EVERYTHING&amp;vid=01CRU&amp;lang=en_US&amp;offset=0&amp;query=any,contains,991000897369702656","Catalog Record")</f>
        <v>Catalog Record</v>
      </c>
      <c r="AT120" s="6" t="str">
        <f>HYPERLINK("http://www.worldcat.org/oclc/14001434","WorldCat Record")</f>
        <v>WorldCat Record</v>
      </c>
      <c r="AU120" s="3" t="s">
        <v>1632</v>
      </c>
      <c r="AV120" s="3" t="s">
        <v>1633</v>
      </c>
      <c r="AW120" s="3" t="s">
        <v>1634</v>
      </c>
      <c r="AX120" s="3" t="s">
        <v>1634</v>
      </c>
      <c r="AY120" s="3" t="s">
        <v>1635</v>
      </c>
      <c r="AZ120" s="3" t="s">
        <v>74</v>
      </c>
      <c r="BB120" s="3" t="s">
        <v>1636</v>
      </c>
      <c r="BC120" s="3" t="s">
        <v>1637</v>
      </c>
      <c r="BD120" s="3" t="s">
        <v>1638</v>
      </c>
    </row>
    <row r="121" spans="1:56" ht="40.5" customHeight="1" x14ac:dyDescent="0.25">
      <c r="A121" s="7" t="s">
        <v>58</v>
      </c>
      <c r="B121" s="2" t="s">
        <v>1639</v>
      </c>
      <c r="C121" s="2" t="s">
        <v>1640</v>
      </c>
      <c r="D121" s="2" t="s">
        <v>1641</v>
      </c>
      <c r="F121" s="3" t="s">
        <v>58</v>
      </c>
      <c r="G121" s="3" t="s">
        <v>59</v>
      </c>
      <c r="H121" s="3" t="s">
        <v>58</v>
      </c>
      <c r="I121" s="3" t="s">
        <v>58</v>
      </c>
      <c r="J121" s="3" t="s">
        <v>60</v>
      </c>
      <c r="K121" s="2" t="s">
        <v>1642</v>
      </c>
      <c r="L121" s="2" t="s">
        <v>1643</v>
      </c>
      <c r="M121" s="3" t="s">
        <v>1644</v>
      </c>
      <c r="O121" s="3" t="s">
        <v>65</v>
      </c>
      <c r="P121" s="3" t="s">
        <v>66</v>
      </c>
      <c r="R121" s="3" t="s">
        <v>1602</v>
      </c>
      <c r="S121" s="4">
        <v>3</v>
      </c>
      <c r="T121" s="4">
        <v>3</v>
      </c>
      <c r="U121" s="5" t="s">
        <v>1645</v>
      </c>
      <c r="V121" s="5" t="s">
        <v>1645</v>
      </c>
      <c r="W121" s="5" t="s">
        <v>1086</v>
      </c>
      <c r="X121" s="5" t="s">
        <v>1086</v>
      </c>
      <c r="Y121" s="4">
        <v>261</v>
      </c>
      <c r="Z121" s="4">
        <v>213</v>
      </c>
      <c r="AA121" s="4">
        <v>244</v>
      </c>
      <c r="AB121" s="4">
        <v>1</v>
      </c>
      <c r="AC121" s="4">
        <v>2</v>
      </c>
      <c r="AD121" s="4">
        <v>6</v>
      </c>
      <c r="AE121" s="4">
        <v>7</v>
      </c>
      <c r="AF121" s="4">
        <v>2</v>
      </c>
      <c r="AG121" s="4">
        <v>2</v>
      </c>
      <c r="AH121" s="4">
        <v>2</v>
      </c>
      <c r="AI121" s="4">
        <v>2</v>
      </c>
      <c r="AJ121" s="4">
        <v>4</v>
      </c>
      <c r="AK121" s="4">
        <v>4</v>
      </c>
      <c r="AL121" s="4">
        <v>0</v>
      </c>
      <c r="AM121" s="4">
        <v>1</v>
      </c>
      <c r="AN121" s="4">
        <v>0</v>
      </c>
      <c r="AO121" s="4">
        <v>0</v>
      </c>
      <c r="AP121" s="3" t="s">
        <v>58</v>
      </c>
      <c r="AQ121" s="3" t="s">
        <v>58</v>
      </c>
      <c r="AS121" s="6" t="str">
        <f>HYPERLINK("https://creighton-primo.hosted.exlibrisgroup.com/primo-explore/search?tab=default_tab&amp;search_scope=EVERYTHING&amp;vid=01CRU&amp;lang=en_US&amp;offset=0&amp;query=any,contains,991004776299702656","Catalog Record")</f>
        <v>Catalog Record</v>
      </c>
      <c r="AT121" s="6" t="str">
        <f>HYPERLINK("http://www.worldcat.org/oclc/5101325","WorldCat Record")</f>
        <v>WorldCat Record</v>
      </c>
      <c r="AU121" s="3" t="s">
        <v>1646</v>
      </c>
      <c r="AV121" s="3" t="s">
        <v>1647</v>
      </c>
      <c r="AW121" s="3" t="s">
        <v>1648</v>
      </c>
      <c r="AX121" s="3" t="s">
        <v>1648</v>
      </c>
      <c r="AY121" s="3" t="s">
        <v>1649</v>
      </c>
      <c r="AZ121" s="3" t="s">
        <v>74</v>
      </c>
      <c r="BB121" s="3" t="s">
        <v>1650</v>
      </c>
      <c r="BC121" s="3" t="s">
        <v>1651</v>
      </c>
      <c r="BD121" s="3" t="s">
        <v>1652</v>
      </c>
    </row>
    <row r="122" spans="1:56" ht="40.5" customHeight="1" x14ac:dyDescent="0.25">
      <c r="A122" s="7" t="s">
        <v>58</v>
      </c>
      <c r="B122" s="2" t="s">
        <v>1653</v>
      </c>
      <c r="C122" s="2" t="s">
        <v>1654</v>
      </c>
      <c r="D122" s="2" t="s">
        <v>1655</v>
      </c>
      <c r="F122" s="3" t="s">
        <v>58</v>
      </c>
      <c r="G122" s="3" t="s">
        <v>59</v>
      </c>
      <c r="H122" s="3" t="s">
        <v>58</v>
      </c>
      <c r="I122" s="3" t="s">
        <v>58</v>
      </c>
      <c r="J122" s="3" t="s">
        <v>60</v>
      </c>
      <c r="K122" s="2" t="s">
        <v>1656</v>
      </c>
      <c r="L122" s="2" t="s">
        <v>1657</v>
      </c>
      <c r="M122" s="3" t="s">
        <v>1644</v>
      </c>
      <c r="O122" s="3" t="s">
        <v>65</v>
      </c>
      <c r="P122" s="3" t="s">
        <v>214</v>
      </c>
      <c r="R122" s="3" t="s">
        <v>1602</v>
      </c>
      <c r="S122" s="4">
        <v>3</v>
      </c>
      <c r="T122" s="4">
        <v>3</v>
      </c>
      <c r="U122" s="5" t="s">
        <v>1658</v>
      </c>
      <c r="V122" s="5" t="s">
        <v>1658</v>
      </c>
      <c r="W122" s="5" t="s">
        <v>1086</v>
      </c>
      <c r="X122" s="5" t="s">
        <v>1086</v>
      </c>
      <c r="Y122" s="4">
        <v>199</v>
      </c>
      <c r="Z122" s="4">
        <v>132</v>
      </c>
      <c r="AA122" s="4">
        <v>137</v>
      </c>
      <c r="AB122" s="4">
        <v>3</v>
      </c>
      <c r="AC122" s="4">
        <v>3</v>
      </c>
      <c r="AD122" s="4">
        <v>4</v>
      </c>
      <c r="AE122" s="4">
        <v>4</v>
      </c>
      <c r="AF122" s="4">
        <v>0</v>
      </c>
      <c r="AG122" s="4">
        <v>0</v>
      </c>
      <c r="AH122" s="4">
        <v>0</v>
      </c>
      <c r="AI122" s="4">
        <v>0</v>
      </c>
      <c r="AJ122" s="4">
        <v>1</v>
      </c>
      <c r="AK122" s="4">
        <v>1</v>
      </c>
      <c r="AL122" s="4">
        <v>2</v>
      </c>
      <c r="AM122" s="4">
        <v>2</v>
      </c>
      <c r="AN122" s="4">
        <v>1</v>
      </c>
      <c r="AO122" s="4">
        <v>1</v>
      </c>
      <c r="AP122" s="3" t="s">
        <v>58</v>
      </c>
      <c r="AQ122" s="3" t="s">
        <v>58</v>
      </c>
      <c r="AS122" s="6" t="str">
        <f>HYPERLINK("https://creighton-primo.hosted.exlibrisgroup.com/primo-explore/search?tab=default_tab&amp;search_scope=EVERYTHING&amp;vid=01CRU&amp;lang=en_US&amp;offset=0&amp;query=any,contains,991004772199702656","Catalog Record")</f>
        <v>Catalog Record</v>
      </c>
      <c r="AT122" s="6" t="str">
        <f>HYPERLINK("http://www.worldcat.org/oclc/5077156","WorldCat Record")</f>
        <v>WorldCat Record</v>
      </c>
      <c r="AU122" s="3" t="s">
        <v>1659</v>
      </c>
      <c r="AV122" s="3" t="s">
        <v>1660</v>
      </c>
      <c r="AW122" s="3" t="s">
        <v>1661</v>
      </c>
      <c r="AX122" s="3" t="s">
        <v>1661</v>
      </c>
      <c r="AY122" s="3" t="s">
        <v>1662</v>
      </c>
      <c r="AZ122" s="3" t="s">
        <v>74</v>
      </c>
      <c r="BB122" s="3" t="s">
        <v>1663</v>
      </c>
      <c r="BC122" s="3" t="s">
        <v>1664</v>
      </c>
      <c r="BD122" s="3" t="s">
        <v>1665</v>
      </c>
    </row>
    <row r="123" spans="1:56" ht="40.5" customHeight="1" x14ac:dyDescent="0.25">
      <c r="A123" s="7" t="s">
        <v>58</v>
      </c>
      <c r="B123" s="2" t="s">
        <v>1666</v>
      </c>
      <c r="C123" s="2" t="s">
        <v>1667</v>
      </c>
      <c r="D123" s="2" t="s">
        <v>1668</v>
      </c>
      <c r="F123" s="3" t="s">
        <v>58</v>
      </c>
      <c r="G123" s="3" t="s">
        <v>59</v>
      </c>
      <c r="H123" s="3" t="s">
        <v>58</v>
      </c>
      <c r="I123" s="3" t="s">
        <v>58</v>
      </c>
      <c r="J123" s="3" t="s">
        <v>60</v>
      </c>
      <c r="K123" s="2" t="s">
        <v>1669</v>
      </c>
      <c r="L123" s="2" t="s">
        <v>1670</v>
      </c>
      <c r="M123" s="3" t="s">
        <v>243</v>
      </c>
      <c r="O123" s="3" t="s">
        <v>65</v>
      </c>
      <c r="P123" s="3" t="s">
        <v>275</v>
      </c>
      <c r="Q123" s="2" t="s">
        <v>1671</v>
      </c>
      <c r="R123" s="3" t="s">
        <v>1602</v>
      </c>
      <c r="S123" s="4">
        <v>14</v>
      </c>
      <c r="T123" s="4">
        <v>14</v>
      </c>
      <c r="U123" s="5" t="s">
        <v>1672</v>
      </c>
      <c r="V123" s="5" t="s">
        <v>1672</v>
      </c>
      <c r="W123" s="5" t="s">
        <v>1673</v>
      </c>
      <c r="X123" s="5" t="s">
        <v>1673</v>
      </c>
      <c r="Y123" s="4">
        <v>248</v>
      </c>
      <c r="Z123" s="4">
        <v>132</v>
      </c>
      <c r="AA123" s="4">
        <v>139</v>
      </c>
      <c r="AB123" s="4">
        <v>4</v>
      </c>
      <c r="AC123" s="4">
        <v>4</v>
      </c>
      <c r="AD123" s="4">
        <v>9</v>
      </c>
      <c r="AE123" s="4">
        <v>9</v>
      </c>
      <c r="AF123" s="4">
        <v>2</v>
      </c>
      <c r="AG123" s="4">
        <v>2</v>
      </c>
      <c r="AH123" s="4">
        <v>1</v>
      </c>
      <c r="AI123" s="4">
        <v>1</v>
      </c>
      <c r="AJ123" s="4">
        <v>5</v>
      </c>
      <c r="AK123" s="4">
        <v>5</v>
      </c>
      <c r="AL123" s="4">
        <v>3</v>
      </c>
      <c r="AM123" s="4">
        <v>3</v>
      </c>
      <c r="AN123" s="4">
        <v>0</v>
      </c>
      <c r="AO123" s="4">
        <v>0</v>
      </c>
      <c r="AP123" s="3" t="s">
        <v>58</v>
      </c>
      <c r="AQ123" s="3" t="s">
        <v>80</v>
      </c>
      <c r="AR123" s="6" t="str">
        <f>HYPERLINK("http://catalog.hathitrust.org/Record/002482118","HathiTrust Record")</f>
        <v>HathiTrust Record</v>
      </c>
      <c r="AS123" s="6" t="str">
        <f>HYPERLINK("https://creighton-primo.hosted.exlibrisgroup.com/primo-explore/search?tab=default_tab&amp;search_scope=EVERYTHING&amp;vid=01CRU&amp;lang=en_US&amp;offset=0&amp;query=any,contains,991005413329702656","Catalog Record")</f>
        <v>Catalog Record</v>
      </c>
      <c r="AT123" s="6" t="str">
        <f>HYPERLINK("http://www.worldcat.org/oclc/23384164","WorldCat Record")</f>
        <v>WorldCat Record</v>
      </c>
      <c r="AU123" s="3" t="s">
        <v>1674</v>
      </c>
      <c r="AV123" s="3" t="s">
        <v>1675</v>
      </c>
      <c r="AW123" s="3" t="s">
        <v>1676</v>
      </c>
      <c r="AX123" s="3" t="s">
        <v>1676</v>
      </c>
      <c r="AY123" s="3" t="s">
        <v>1677</v>
      </c>
      <c r="AZ123" s="3" t="s">
        <v>74</v>
      </c>
      <c r="BB123" s="3" t="s">
        <v>1678</v>
      </c>
      <c r="BC123" s="3" t="s">
        <v>1679</v>
      </c>
      <c r="BD123" s="3" t="s">
        <v>1680</v>
      </c>
    </row>
    <row r="124" spans="1:56" ht="40.5" customHeight="1" x14ac:dyDescent="0.25">
      <c r="A124" s="7" t="s">
        <v>58</v>
      </c>
      <c r="B124" s="2" t="s">
        <v>1681</v>
      </c>
      <c r="C124" s="2" t="s">
        <v>1682</v>
      </c>
      <c r="D124" s="2" t="s">
        <v>1683</v>
      </c>
      <c r="F124" s="3" t="s">
        <v>58</v>
      </c>
      <c r="G124" s="3" t="s">
        <v>59</v>
      </c>
      <c r="H124" s="3" t="s">
        <v>58</v>
      </c>
      <c r="I124" s="3" t="s">
        <v>58</v>
      </c>
      <c r="J124" s="3" t="s">
        <v>60</v>
      </c>
      <c r="K124" s="2" t="s">
        <v>1684</v>
      </c>
      <c r="L124" s="2" t="s">
        <v>1685</v>
      </c>
      <c r="M124" s="3" t="s">
        <v>646</v>
      </c>
      <c r="O124" s="3" t="s">
        <v>65</v>
      </c>
      <c r="P124" s="3" t="s">
        <v>155</v>
      </c>
      <c r="R124" s="3" t="s">
        <v>1602</v>
      </c>
      <c r="S124" s="4">
        <v>21</v>
      </c>
      <c r="T124" s="4">
        <v>21</v>
      </c>
      <c r="U124" s="5" t="s">
        <v>1686</v>
      </c>
      <c r="V124" s="5" t="s">
        <v>1686</v>
      </c>
      <c r="W124" s="5" t="s">
        <v>1687</v>
      </c>
      <c r="X124" s="5" t="s">
        <v>1687</v>
      </c>
      <c r="Y124" s="4">
        <v>541</v>
      </c>
      <c r="Z124" s="4">
        <v>436</v>
      </c>
      <c r="AA124" s="4">
        <v>569</v>
      </c>
      <c r="AB124" s="4">
        <v>3</v>
      </c>
      <c r="AC124" s="4">
        <v>4</v>
      </c>
      <c r="AD124" s="4">
        <v>19</v>
      </c>
      <c r="AE124" s="4">
        <v>25</v>
      </c>
      <c r="AF124" s="4">
        <v>7</v>
      </c>
      <c r="AG124" s="4">
        <v>7</v>
      </c>
      <c r="AH124" s="4">
        <v>4</v>
      </c>
      <c r="AI124" s="4">
        <v>7</v>
      </c>
      <c r="AJ124" s="4">
        <v>7</v>
      </c>
      <c r="AK124" s="4">
        <v>10</v>
      </c>
      <c r="AL124" s="4">
        <v>2</v>
      </c>
      <c r="AM124" s="4">
        <v>3</v>
      </c>
      <c r="AN124" s="4">
        <v>2</v>
      </c>
      <c r="AO124" s="4">
        <v>2</v>
      </c>
      <c r="AP124" s="3" t="s">
        <v>58</v>
      </c>
      <c r="AQ124" s="3" t="s">
        <v>58</v>
      </c>
      <c r="AS124" s="6" t="str">
        <f>HYPERLINK("https://creighton-primo.hosted.exlibrisgroup.com/primo-explore/search?tab=default_tab&amp;search_scope=EVERYTHING&amp;vid=01CRU&amp;lang=en_US&amp;offset=0&amp;query=any,contains,991003898629702656","Catalog Record")</f>
        <v>Catalog Record</v>
      </c>
      <c r="AT124" s="6" t="str">
        <f>HYPERLINK("http://www.worldcat.org/oclc/1818159","WorldCat Record")</f>
        <v>WorldCat Record</v>
      </c>
      <c r="AU124" s="3" t="s">
        <v>1688</v>
      </c>
      <c r="AV124" s="3" t="s">
        <v>1689</v>
      </c>
      <c r="AW124" s="3" t="s">
        <v>1690</v>
      </c>
      <c r="AX124" s="3" t="s">
        <v>1690</v>
      </c>
      <c r="AY124" s="3" t="s">
        <v>1691</v>
      </c>
      <c r="AZ124" s="3" t="s">
        <v>74</v>
      </c>
      <c r="BC124" s="3" t="s">
        <v>1692</v>
      </c>
      <c r="BD124" s="3" t="s">
        <v>1693</v>
      </c>
    </row>
    <row r="125" spans="1:56" ht="40.5" customHeight="1" x14ac:dyDescent="0.25">
      <c r="A125" s="7" t="s">
        <v>58</v>
      </c>
      <c r="B125" s="2" t="s">
        <v>1694</v>
      </c>
      <c r="C125" s="2" t="s">
        <v>1695</v>
      </c>
      <c r="D125" s="2" t="s">
        <v>1696</v>
      </c>
      <c r="F125" s="3" t="s">
        <v>58</v>
      </c>
      <c r="G125" s="3" t="s">
        <v>59</v>
      </c>
      <c r="H125" s="3" t="s">
        <v>58</v>
      </c>
      <c r="I125" s="3" t="s">
        <v>58</v>
      </c>
      <c r="J125" s="3" t="s">
        <v>60</v>
      </c>
      <c r="K125" s="2" t="s">
        <v>1697</v>
      </c>
      <c r="L125" s="2" t="s">
        <v>1698</v>
      </c>
      <c r="M125" s="3" t="s">
        <v>1644</v>
      </c>
      <c r="O125" s="3" t="s">
        <v>65</v>
      </c>
      <c r="P125" s="3" t="s">
        <v>66</v>
      </c>
      <c r="R125" s="3" t="s">
        <v>1602</v>
      </c>
      <c r="S125" s="4">
        <v>1</v>
      </c>
      <c r="T125" s="4">
        <v>1</v>
      </c>
      <c r="U125" s="5" t="s">
        <v>1699</v>
      </c>
      <c r="V125" s="5" t="s">
        <v>1699</v>
      </c>
      <c r="W125" s="5" t="s">
        <v>1700</v>
      </c>
      <c r="X125" s="5" t="s">
        <v>1700</v>
      </c>
      <c r="Y125" s="4">
        <v>384</v>
      </c>
      <c r="Z125" s="4">
        <v>311</v>
      </c>
      <c r="AA125" s="4">
        <v>311</v>
      </c>
      <c r="AB125" s="4">
        <v>3</v>
      </c>
      <c r="AC125" s="4">
        <v>3</v>
      </c>
      <c r="AD125" s="4">
        <v>14</v>
      </c>
      <c r="AE125" s="4">
        <v>14</v>
      </c>
      <c r="AF125" s="4">
        <v>4</v>
      </c>
      <c r="AG125" s="4">
        <v>4</v>
      </c>
      <c r="AH125" s="4">
        <v>3</v>
      </c>
      <c r="AI125" s="4">
        <v>3</v>
      </c>
      <c r="AJ125" s="4">
        <v>11</v>
      </c>
      <c r="AK125" s="4">
        <v>11</v>
      </c>
      <c r="AL125" s="4">
        <v>2</v>
      </c>
      <c r="AM125" s="4">
        <v>2</v>
      </c>
      <c r="AN125" s="4">
        <v>0</v>
      </c>
      <c r="AO125" s="4">
        <v>0</v>
      </c>
      <c r="AP125" s="3" t="s">
        <v>58</v>
      </c>
      <c r="AQ125" s="3" t="s">
        <v>58</v>
      </c>
      <c r="AS125" s="6" t="str">
        <f>HYPERLINK("https://creighton-primo.hosted.exlibrisgroup.com/primo-explore/search?tab=default_tab&amp;search_scope=EVERYTHING&amp;vid=01CRU&amp;lang=en_US&amp;offset=0&amp;query=any,contains,991004749889702656","Catalog Record")</f>
        <v>Catalog Record</v>
      </c>
      <c r="AT125" s="6" t="str">
        <f>HYPERLINK("http://www.worldcat.org/oclc/4933097","WorldCat Record")</f>
        <v>WorldCat Record</v>
      </c>
      <c r="AU125" s="3" t="s">
        <v>1701</v>
      </c>
      <c r="AV125" s="3" t="s">
        <v>1702</v>
      </c>
      <c r="AW125" s="3" t="s">
        <v>1703</v>
      </c>
      <c r="AX125" s="3" t="s">
        <v>1703</v>
      </c>
      <c r="AY125" s="3" t="s">
        <v>1704</v>
      </c>
      <c r="AZ125" s="3" t="s">
        <v>74</v>
      </c>
      <c r="BB125" s="3" t="s">
        <v>1705</v>
      </c>
      <c r="BC125" s="3" t="s">
        <v>1706</v>
      </c>
      <c r="BD125" s="3" t="s">
        <v>1707</v>
      </c>
    </row>
    <row r="126" spans="1:56" ht="40.5" customHeight="1" x14ac:dyDescent="0.25">
      <c r="A126" s="7" t="s">
        <v>58</v>
      </c>
      <c r="B126" s="2" t="s">
        <v>1708</v>
      </c>
      <c r="C126" s="2" t="s">
        <v>1709</v>
      </c>
      <c r="D126" s="2" t="s">
        <v>1710</v>
      </c>
      <c r="F126" s="3" t="s">
        <v>58</v>
      </c>
      <c r="G126" s="3" t="s">
        <v>59</v>
      </c>
      <c r="H126" s="3" t="s">
        <v>58</v>
      </c>
      <c r="I126" s="3" t="s">
        <v>58</v>
      </c>
      <c r="J126" s="3" t="s">
        <v>60</v>
      </c>
      <c r="K126" s="2" t="s">
        <v>1711</v>
      </c>
      <c r="L126" s="2" t="s">
        <v>1712</v>
      </c>
      <c r="M126" s="3" t="s">
        <v>1713</v>
      </c>
      <c r="O126" s="3" t="s">
        <v>65</v>
      </c>
      <c r="P126" s="3" t="s">
        <v>66</v>
      </c>
      <c r="R126" s="3" t="s">
        <v>1602</v>
      </c>
      <c r="S126" s="4">
        <v>0</v>
      </c>
      <c r="T126" s="4">
        <v>0</v>
      </c>
      <c r="U126" s="5" t="s">
        <v>1714</v>
      </c>
      <c r="V126" s="5" t="s">
        <v>1714</v>
      </c>
      <c r="W126" s="5" t="s">
        <v>1715</v>
      </c>
      <c r="X126" s="5" t="s">
        <v>1715</v>
      </c>
      <c r="Y126" s="4">
        <v>107</v>
      </c>
      <c r="Z126" s="4">
        <v>101</v>
      </c>
      <c r="AA126" s="4">
        <v>102</v>
      </c>
      <c r="AB126" s="4">
        <v>1</v>
      </c>
      <c r="AC126" s="4">
        <v>1</v>
      </c>
      <c r="AD126" s="4">
        <v>4</v>
      </c>
      <c r="AE126" s="4">
        <v>4</v>
      </c>
      <c r="AF126" s="4">
        <v>0</v>
      </c>
      <c r="AG126" s="4">
        <v>0</v>
      </c>
      <c r="AH126" s="4">
        <v>0</v>
      </c>
      <c r="AI126" s="4">
        <v>0</v>
      </c>
      <c r="AJ126" s="4">
        <v>3</v>
      </c>
      <c r="AK126" s="4">
        <v>3</v>
      </c>
      <c r="AL126" s="4">
        <v>0</v>
      </c>
      <c r="AM126" s="4">
        <v>0</v>
      </c>
      <c r="AN126" s="4">
        <v>1</v>
      </c>
      <c r="AO126" s="4">
        <v>1</v>
      </c>
      <c r="AP126" s="3" t="s">
        <v>58</v>
      </c>
      <c r="AQ126" s="3" t="s">
        <v>58</v>
      </c>
      <c r="AS126" s="6" t="str">
        <f>HYPERLINK("https://creighton-primo.hosted.exlibrisgroup.com/primo-explore/search?tab=default_tab&amp;search_scope=EVERYTHING&amp;vid=01CRU&amp;lang=en_US&amp;offset=0&amp;query=any,contains,991003559359702656","Catalog Record")</f>
        <v>Catalog Record</v>
      </c>
      <c r="AT126" s="6" t="str">
        <f>HYPERLINK("http://www.worldcat.org/oclc/1129524","WorldCat Record")</f>
        <v>WorldCat Record</v>
      </c>
      <c r="AU126" s="3" t="s">
        <v>1716</v>
      </c>
      <c r="AV126" s="3" t="s">
        <v>1717</v>
      </c>
      <c r="AW126" s="3" t="s">
        <v>1718</v>
      </c>
      <c r="AX126" s="3" t="s">
        <v>1718</v>
      </c>
      <c r="AY126" s="3" t="s">
        <v>1719</v>
      </c>
      <c r="AZ126" s="3" t="s">
        <v>74</v>
      </c>
      <c r="BC126" s="3" t="s">
        <v>1720</v>
      </c>
      <c r="BD126" s="3" t="s">
        <v>1721</v>
      </c>
    </row>
    <row r="127" spans="1:56" ht="40.5" customHeight="1" x14ac:dyDescent="0.25">
      <c r="A127" s="7" t="s">
        <v>58</v>
      </c>
      <c r="B127" s="2" t="s">
        <v>1722</v>
      </c>
      <c r="C127" s="2" t="s">
        <v>1723</v>
      </c>
      <c r="D127" s="2" t="s">
        <v>1724</v>
      </c>
      <c r="F127" s="3" t="s">
        <v>58</v>
      </c>
      <c r="G127" s="3" t="s">
        <v>59</v>
      </c>
      <c r="H127" s="3" t="s">
        <v>58</v>
      </c>
      <c r="I127" s="3" t="s">
        <v>58</v>
      </c>
      <c r="J127" s="3" t="s">
        <v>60</v>
      </c>
      <c r="K127" s="2" t="s">
        <v>1725</v>
      </c>
      <c r="L127" s="2" t="s">
        <v>1726</v>
      </c>
      <c r="M127" s="3" t="s">
        <v>646</v>
      </c>
      <c r="N127" s="2" t="s">
        <v>662</v>
      </c>
      <c r="O127" s="3" t="s">
        <v>65</v>
      </c>
      <c r="P127" s="3" t="s">
        <v>214</v>
      </c>
      <c r="R127" s="3" t="s">
        <v>1602</v>
      </c>
      <c r="S127" s="4">
        <v>1</v>
      </c>
      <c r="T127" s="4">
        <v>1</v>
      </c>
      <c r="U127" s="5" t="s">
        <v>1727</v>
      </c>
      <c r="V127" s="5" t="s">
        <v>1727</v>
      </c>
      <c r="W127" s="5" t="s">
        <v>1619</v>
      </c>
      <c r="X127" s="5" t="s">
        <v>1619</v>
      </c>
      <c r="Y127" s="4">
        <v>284</v>
      </c>
      <c r="Z127" s="4">
        <v>239</v>
      </c>
      <c r="AA127" s="4">
        <v>464</v>
      </c>
      <c r="AB127" s="4">
        <v>3</v>
      </c>
      <c r="AC127" s="4">
        <v>5</v>
      </c>
      <c r="AD127" s="4">
        <v>12</v>
      </c>
      <c r="AE127" s="4">
        <v>21</v>
      </c>
      <c r="AF127" s="4">
        <v>4</v>
      </c>
      <c r="AG127" s="4">
        <v>6</v>
      </c>
      <c r="AH127" s="4">
        <v>2</v>
      </c>
      <c r="AI127" s="4">
        <v>3</v>
      </c>
      <c r="AJ127" s="4">
        <v>5</v>
      </c>
      <c r="AK127" s="4">
        <v>10</v>
      </c>
      <c r="AL127" s="4">
        <v>2</v>
      </c>
      <c r="AM127" s="4">
        <v>4</v>
      </c>
      <c r="AN127" s="4">
        <v>0</v>
      </c>
      <c r="AO127" s="4">
        <v>1</v>
      </c>
      <c r="AP127" s="3" t="s">
        <v>58</v>
      </c>
      <c r="AQ127" s="3" t="s">
        <v>80</v>
      </c>
      <c r="AR127" s="6" t="str">
        <f>HYPERLINK("http://catalog.hathitrust.org/Record/000035249","HathiTrust Record")</f>
        <v>HathiTrust Record</v>
      </c>
      <c r="AS127" s="6" t="str">
        <f>HYPERLINK("https://creighton-primo.hosted.exlibrisgroup.com/primo-explore/search?tab=default_tab&amp;search_scope=EVERYTHING&amp;vid=01CRU&amp;lang=en_US&amp;offset=0&amp;query=any,contains,991003785689702656","Catalog Record")</f>
        <v>Catalog Record</v>
      </c>
      <c r="AT127" s="6" t="str">
        <f>HYPERLINK("http://www.worldcat.org/oclc/1501875","WorldCat Record")</f>
        <v>WorldCat Record</v>
      </c>
      <c r="AU127" s="3" t="s">
        <v>1728</v>
      </c>
      <c r="AV127" s="3" t="s">
        <v>1729</v>
      </c>
      <c r="AW127" s="3" t="s">
        <v>1730</v>
      </c>
      <c r="AX127" s="3" t="s">
        <v>1730</v>
      </c>
      <c r="AY127" s="3" t="s">
        <v>1731</v>
      </c>
      <c r="AZ127" s="3" t="s">
        <v>74</v>
      </c>
      <c r="BC127" s="3" t="s">
        <v>1732</v>
      </c>
      <c r="BD127" s="3" t="s">
        <v>1733</v>
      </c>
    </row>
    <row r="128" spans="1:56" ht="40.5" customHeight="1" x14ac:dyDescent="0.25">
      <c r="A128" s="7" t="s">
        <v>58</v>
      </c>
      <c r="B128" s="2" t="s">
        <v>1734</v>
      </c>
      <c r="C128" s="2" t="s">
        <v>1735</v>
      </c>
      <c r="D128" s="2" t="s">
        <v>1736</v>
      </c>
      <c r="F128" s="3" t="s">
        <v>58</v>
      </c>
      <c r="G128" s="3" t="s">
        <v>59</v>
      </c>
      <c r="H128" s="3" t="s">
        <v>58</v>
      </c>
      <c r="I128" s="3" t="s">
        <v>58</v>
      </c>
      <c r="J128" s="3" t="s">
        <v>60</v>
      </c>
      <c r="K128" s="2" t="s">
        <v>1737</v>
      </c>
      <c r="L128" s="2" t="s">
        <v>1738</v>
      </c>
      <c r="M128" s="3" t="s">
        <v>676</v>
      </c>
      <c r="O128" s="3" t="s">
        <v>65</v>
      </c>
      <c r="P128" s="3" t="s">
        <v>66</v>
      </c>
      <c r="R128" s="3" t="s">
        <v>1602</v>
      </c>
      <c r="S128" s="4">
        <v>3</v>
      </c>
      <c r="T128" s="4">
        <v>3</v>
      </c>
      <c r="U128" s="5" t="s">
        <v>1739</v>
      </c>
      <c r="V128" s="5" t="s">
        <v>1739</v>
      </c>
      <c r="W128" s="5" t="s">
        <v>1740</v>
      </c>
      <c r="X128" s="5" t="s">
        <v>1740</v>
      </c>
      <c r="Y128" s="4">
        <v>434</v>
      </c>
      <c r="Z128" s="4">
        <v>351</v>
      </c>
      <c r="AA128" s="4">
        <v>352</v>
      </c>
      <c r="AB128" s="4">
        <v>2</v>
      </c>
      <c r="AC128" s="4">
        <v>2</v>
      </c>
      <c r="AD128" s="4">
        <v>11</v>
      </c>
      <c r="AE128" s="4">
        <v>11</v>
      </c>
      <c r="AF128" s="4">
        <v>4</v>
      </c>
      <c r="AG128" s="4">
        <v>4</v>
      </c>
      <c r="AH128" s="4">
        <v>3</v>
      </c>
      <c r="AI128" s="4">
        <v>3</v>
      </c>
      <c r="AJ128" s="4">
        <v>4</v>
      </c>
      <c r="AK128" s="4">
        <v>4</v>
      </c>
      <c r="AL128" s="4">
        <v>1</v>
      </c>
      <c r="AM128" s="4">
        <v>1</v>
      </c>
      <c r="AN128" s="4">
        <v>0</v>
      </c>
      <c r="AO128" s="4">
        <v>0</v>
      </c>
      <c r="AP128" s="3" t="s">
        <v>58</v>
      </c>
      <c r="AQ128" s="3" t="s">
        <v>80</v>
      </c>
      <c r="AR128" s="6" t="str">
        <f>HYPERLINK("http://catalog.hathitrust.org/Record/000139979","HathiTrust Record")</f>
        <v>HathiTrust Record</v>
      </c>
      <c r="AS128" s="6" t="str">
        <f>HYPERLINK("https://creighton-primo.hosted.exlibrisgroup.com/primo-explore/search?tab=default_tab&amp;search_scope=EVERYTHING&amp;vid=01CRU&amp;lang=en_US&amp;offset=0&amp;query=any,contains,991005094879702656","Catalog Record")</f>
        <v>Catalog Record</v>
      </c>
      <c r="AT128" s="6" t="str">
        <f>HYPERLINK("http://www.worldcat.org/oclc/7271869","WorldCat Record")</f>
        <v>WorldCat Record</v>
      </c>
      <c r="AU128" s="3" t="s">
        <v>1741</v>
      </c>
      <c r="AV128" s="3" t="s">
        <v>1742</v>
      </c>
      <c r="AW128" s="3" t="s">
        <v>1743</v>
      </c>
      <c r="AX128" s="3" t="s">
        <v>1743</v>
      </c>
      <c r="AY128" s="3" t="s">
        <v>1744</v>
      </c>
      <c r="AZ128" s="3" t="s">
        <v>74</v>
      </c>
      <c r="BB128" s="3" t="s">
        <v>1745</v>
      </c>
      <c r="BC128" s="3" t="s">
        <v>1746</v>
      </c>
      <c r="BD128" s="3" t="s">
        <v>1747</v>
      </c>
    </row>
    <row r="129" spans="1:56" ht="40.5" customHeight="1" x14ac:dyDescent="0.25">
      <c r="A129" s="7" t="s">
        <v>58</v>
      </c>
      <c r="B129" s="2" t="s">
        <v>1748</v>
      </c>
      <c r="C129" s="2" t="s">
        <v>1749</v>
      </c>
      <c r="D129" s="2" t="s">
        <v>1750</v>
      </c>
      <c r="F129" s="3" t="s">
        <v>58</v>
      </c>
      <c r="G129" s="3" t="s">
        <v>59</v>
      </c>
      <c r="H129" s="3" t="s">
        <v>80</v>
      </c>
      <c r="I129" s="3" t="s">
        <v>58</v>
      </c>
      <c r="J129" s="3" t="s">
        <v>60</v>
      </c>
      <c r="L129" s="2" t="s">
        <v>1751</v>
      </c>
      <c r="M129" s="3" t="s">
        <v>839</v>
      </c>
      <c r="O129" s="3" t="s">
        <v>65</v>
      </c>
      <c r="P129" s="3" t="s">
        <v>169</v>
      </c>
      <c r="Q129" s="2" t="s">
        <v>1752</v>
      </c>
      <c r="R129" s="3" t="s">
        <v>1602</v>
      </c>
      <c r="S129" s="4">
        <v>1</v>
      </c>
      <c r="T129" s="4">
        <v>1</v>
      </c>
      <c r="U129" s="5" t="s">
        <v>1753</v>
      </c>
      <c r="V129" s="5" t="s">
        <v>1753</v>
      </c>
      <c r="W129" s="5" t="s">
        <v>1619</v>
      </c>
      <c r="X129" s="5" t="s">
        <v>1619</v>
      </c>
      <c r="Y129" s="4">
        <v>588</v>
      </c>
      <c r="Z129" s="4">
        <v>475</v>
      </c>
      <c r="AA129" s="4">
        <v>484</v>
      </c>
      <c r="AB129" s="4">
        <v>5</v>
      </c>
      <c r="AC129" s="4">
        <v>5</v>
      </c>
      <c r="AD129" s="4">
        <v>29</v>
      </c>
      <c r="AE129" s="4">
        <v>29</v>
      </c>
      <c r="AF129" s="4">
        <v>9</v>
      </c>
      <c r="AG129" s="4">
        <v>9</v>
      </c>
      <c r="AH129" s="4">
        <v>5</v>
      </c>
      <c r="AI129" s="4">
        <v>5</v>
      </c>
      <c r="AJ129" s="4">
        <v>18</v>
      </c>
      <c r="AK129" s="4">
        <v>18</v>
      </c>
      <c r="AL129" s="4">
        <v>3</v>
      </c>
      <c r="AM129" s="4">
        <v>3</v>
      </c>
      <c r="AN129" s="4">
        <v>3</v>
      </c>
      <c r="AO129" s="4">
        <v>3</v>
      </c>
      <c r="AP129" s="3" t="s">
        <v>58</v>
      </c>
      <c r="AQ129" s="3" t="s">
        <v>80</v>
      </c>
      <c r="AR129" s="6" t="str">
        <f>HYPERLINK("http://catalog.hathitrust.org/Record/000959509","HathiTrust Record")</f>
        <v>HathiTrust Record</v>
      </c>
      <c r="AS129" s="6" t="str">
        <f>HYPERLINK("https://creighton-primo.hosted.exlibrisgroup.com/primo-explore/search?tab=default_tab&amp;search_scope=EVERYTHING&amp;vid=01CRU&amp;lang=en_US&amp;offset=0&amp;query=any,contains,991001617419702656","Catalog Record")</f>
        <v>Catalog Record</v>
      </c>
      <c r="AT129" s="6" t="str">
        <f>HYPERLINK("http://www.worldcat.org/oclc/252957","WorldCat Record")</f>
        <v>WorldCat Record</v>
      </c>
      <c r="AU129" s="3" t="s">
        <v>1754</v>
      </c>
      <c r="AV129" s="3" t="s">
        <v>1755</v>
      </c>
      <c r="AW129" s="3" t="s">
        <v>1756</v>
      </c>
      <c r="AX129" s="3" t="s">
        <v>1756</v>
      </c>
      <c r="AY129" s="3" t="s">
        <v>1757</v>
      </c>
      <c r="AZ129" s="3" t="s">
        <v>74</v>
      </c>
      <c r="BC129" s="3" t="s">
        <v>1758</v>
      </c>
      <c r="BD129" s="3" t="s">
        <v>1759</v>
      </c>
    </row>
    <row r="130" spans="1:56" ht="40.5" customHeight="1" x14ac:dyDescent="0.25">
      <c r="A130" s="7" t="s">
        <v>58</v>
      </c>
      <c r="B130" s="2" t="s">
        <v>1760</v>
      </c>
      <c r="C130" s="2" t="s">
        <v>1761</v>
      </c>
      <c r="D130" s="2" t="s">
        <v>1762</v>
      </c>
      <c r="F130" s="3" t="s">
        <v>58</v>
      </c>
      <c r="G130" s="3" t="s">
        <v>59</v>
      </c>
      <c r="H130" s="3" t="s">
        <v>58</v>
      </c>
      <c r="I130" s="3" t="s">
        <v>58</v>
      </c>
      <c r="J130" s="3" t="s">
        <v>60</v>
      </c>
      <c r="K130" s="2" t="s">
        <v>1763</v>
      </c>
      <c r="L130" s="2" t="s">
        <v>1764</v>
      </c>
      <c r="M130" s="3" t="s">
        <v>615</v>
      </c>
      <c r="O130" s="3" t="s">
        <v>65</v>
      </c>
      <c r="P130" s="3" t="s">
        <v>66</v>
      </c>
      <c r="R130" s="3" t="s">
        <v>1602</v>
      </c>
      <c r="S130" s="4">
        <v>3</v>
      </c>
      <c r="T130" s="4">
        <v>3</v>
      </c>
      <c r="U130" s="5" t="s">
        <v>1765</v>
      </c>
      <c r="V130" s="5" t="s">
        <v>1765</v>
      </c>
      <c r="W130" s="5" t="s">
        <v>1700</v>
      </c>
      <c r="X130" s="5" t="s">
        <v>1700</v>
      </c>
      <c r="Y130" s="4">
        <v>369</v>
      </c>
      <c r="Z130" s="4">
        <v>354</v>
      </c>
      <c r="AA130" s="4">
        <v>356</v>
      </c>
      <c r="AB130" s="4">
        <v>6</v>
      </c>
      <c r="AC130" s="4">
        <v>6</v>
      </c>
      <c r="AD130" s="4">
        <v>24</v>
      </c>
      <c r="AE130" s="4">
        <v>24</v>
      </c>
      <c r="AF130" s="4">
        <v>10</v>
      </c>
      <c r="AG130" s="4">
        <v>10</v>
      </c>
      <c r="AH130" s="4">
        <v>5</v>
      </c>
      <c r="AI130" s="4">
        <v>5</v>
      </c>
      <c r="AJ130" s="4">
        <v>10</v>
      </c>
      <c r="AK130" s="4">
        <v>10</v>
      </c>
      <c r="AL130" s="4">
        <v>5</v>
      </c>
      <c r="AM130" s="4">
        <v>5</v>
      </c>
      <c r="AN130" s="4">
        <v>1</v>
      </c>
      <c r="AO130" s="4">
        <v>1</v>
      </c>
      <c r="AP130" s="3" t="s">
        <v>58</v>
      </c>
      <c r="AQ130" s="3" t="s">
        <v>80</v>
      </c>
      <c r="AR130" s="6" t="str">
        <f>HYPERLINK("http://catalog.hathitrust.org/Record/009496265","HathiTrust Record")</f>
        <v>HathiTrust Record</v>
      </c>
      <c r="AS130" s="6" t="str">
        <f>HYPERLINK("https://creighton-primo.hosted.exlibrisgroup.com/primo-explore/search?tab=default_tab&amp;search_scope=EVERYTHING&amp;vid=01CRU&amp;lang=en_US&amp;offset=0&amp;query=any,contains,991000253789702656","Catalog Record")</f>
        <v>Catalog Record</v>
      </c>
      <c r="AT130" s="6" t="str">
        <f>HYPERLINK("http://www.worldcat.org/oclc/9762080","WorldCat Record")</f>
        <v>WorldCat Record</v>
      </c>
      <c r="AU130" s="3" t="s">
        <v>1766</v>
      </c>
      <c r="AV130" s="3" t="s">
        <v>1767</v>
      </c>
      <c r="AW130" s="3" t="s">
        <v>1768</v>
      </c>
      <c r="AX130" s="3" t="s">
        <v>1768</v>
      </c>
      <c r="AY130" s="3" t="s">
        <v>1769</v>
      </c>
      <c r="AZ130" s="3" t="s">
        <v>74</v>
      </c>
      <c r="BB130" s="3" t="s">
        <v>1770</v>
      </c>
      <c r="BC130" s="3" t="s">
        <v>1771</v>
      </c>
      <c r="BD130" s="3" t="s">
        <v>1772</v>
      </c>
    </row>
    <row r="131" spans="1:56" ht="40.5" customHeight="1" x14ac:dyDescent="0.25">
      <c r="A131" s="7" t="s">
        <v>58</v>
      </c>
      <c r="B131" s="2" t="s">
        <v>1773</v>
      </c>
      <c r="C131" s="2" t="s">
        <v>1774</v>
      </c>
      <c r="D131" s="2" t="s">
        <v>1775</v>
      </c>
      <c r="F131" s="3" t="s">
        <v>58</v>
      </c>
      <c r="G131" s="3" t="s">
        <v>59</v>
      </c>
      <c r="H131" s="3" t="s">
        <v>58</v>
      </c>
      <c r="I131" s="3" t="s">
        <v>58</v>
      </c>
      <c r="J131" s="3" t="s">
        <v>60</v>
      </c>
      <c r="K131" s="2" t="s">
        <v>1763</v>
      </c>
      <c r="L131" s="2" t="s">
        <v>1776</v>
      </c>
      <c r="M131" s="3" t="s">
        <v>83</v>
      </c>
      <c r="O131" s="3" t="s">
        <v>65</v>
      </c>
      <c r="P131" s="3" t="s">
        <v>66</v>
      </c>
      <c r="R131" s="3" t="s">
        <v>1602</v>
      </c>
      <c r="S131" s="4">
        <v>6</v>
      </c>
      <c r="T131" s="4">
        <v>6</v>
      </c>
      <c r="U131" s="5" t="s">
        <v>1777</v>
      </c>
      <c r="V131" s="5" t="s">
        <v>1777</v>
      </c>
      <c r="W131" s="5" t="s">
        <v>1700</v>
      </c>
      <c r="X131" s="5" t="s">
        <v>1700</v>
      </c>
      <c r="Y131" s="4">
        <v>362</v>
      </c>
      <c r="Z131" s="4">
        <v>346</v>
      </c>
      <c r="AA131" s="4">
        <v>354</v>
      </c>
      <c r="AB131" s="4">
        <v>6</v>
      </c>
      <c r="AC131" s="4">
        <v>6</v>
      </c>
      <c r="AD131" s="4">
        <v>24</v>
      </c>
      <c r="AE131" s="4">
        <v>24</v>
      </c>
      <c r="AF131" s="4">
        <v>12</v>
      </c>
      <c r="AG131" s="4">
        <v>12</v>
      </c>
      <c r="AH131" s="4">
        <v>4</v>
      </c>
      <c r="AI131" s="4">
        <v>4</v>
      </c>
      <c r="AJ131" s="4">
        <v>9</v>
      </c>
      <c r="AK131" s="4">
        <v>9</v>
      </c>
      <c r="AL131" s="4">
        <v>5</v>
      </c>
      <c r="AM131" s="4">
        <v>5</v>
      </c>
      <c r="AN131" s="4">
        <v>1</v>
      </c>
      <c r="AO131" s="4">
        <v>1</v>
      </c>
      <c r="AP131" s="3" t="s">
        <v>58</v>
      </c>
      <c r="AQ131" s="3" t="s">
        <v>80</v>
      </c>
      <c r="AR131" s="6" t="str">
        <f>HYPERLINK("http://catalog.hathitrust.org/Record/006241486","HathiTrust Record")</f>
        <v>HathiTrust Record</v>
      </c>
      <c r="AS131" s="6" t="str">
        <f>HYPERLINK("https://creighton-primo.hosted.exlibrisgroup.com/primo-explore/search?tab=default_tab&amp;search_scope=EVERYTHING&amp;vid=01CRU&amp;lang=en_US&amp;offset=0&amp;query=any,contains,991000495039702656","Catalog Record")</f>
        <v>Catalog Record</v>
      </c>
      <c r="AT131" s="6" t="str">
        <f>HYPERLINK("http://www.worldcat.org/oclc/11133290","WorldCat Record")</f>
        <v>WorldCat Record</v>
      </c>
      <c r="AU131" s="3" t="s">
        <v>1778</v>
      </c>
      <c r="AV131" s="3" t="s">
        <v>1779</v>
      </c>
      <c r="AW131" s="3" t="s">
        <v>1780</v>
      </c>
      <c r="AX131" s="3" t="s">
        <v>1780</v>
      </c>
      <c r="AY131" s="3" t="s">
        <v>1781</v>
      </c>
      <c r="AZ131" s="3" t="s">
        <v>74</v>
      </c>
      <c r="BB131" s="3" t="s">
        <v>1782</v>
      </c>
      <c r="BC131" s="3" t="s">
        <v>1783</v>
      </c>
      <c r="BD131" s="3" t="s">
        <v>1784</v>
      </c>
    </row>
    <row r="132" spans="1:56" ht="40.5" customHeight="1" x14ac:dyDescent="0.25">
      <c r="A132" s="7" t="s">
        <v>58</v>
      </c>
      <c r="B132" s="2" t="s">
        <v>1785</v>
      </c>
      <c r="C132" s="2" t="s">
        <v>1786</v>
      </c>
      <c r="D132" s="2" t="s">
        <v>1787</v>
      </c>
      <c r="F132" s="3" t="s">
        <v>58</v>
      </c>
      <c r="G132" s="3" t="s">
        <v>59</v>
      </c>
      <c r="H132" s="3" t="s">
        <v>58</v>
      </c>
      <c r="I132" s="3" t="s">
        <v>58</v>
      </c>
      <c r="J132" s="3" t="s">
        <v>60</v>
      </c>
      <c r="L132" s="2" t="s">
        <v>1788</v>
      </c>
      <c r="M132" s="3" t="s">
        <v>83</v>
      </c>
      <c r="O132" s="3" t="s">
        <v>65</v>
      </c>
      <c r="P132" s="3" t="s">
        <v>740</v>
      </c>
      <c r="R132" s="3" t="s">
        <v>1602</v>
      </c>
      <c r="S132" s="4">
        <v>2</v>
      </c>
      <c r="T132" s="4">
        <v>2</v>
      </c>
      <c r="U132" s="5" t="s">
        <v>1739</v>
      </c>
      <c r="V132" s="5" t="s">
        <v>1739</v>
      </c>
      <c r="W132" s="5" t="s">
        <v>1700</v>
      </c>
      <c r="X132" s="5" t="s">
        <v>1700</v>
      </c>
      <c r="Y132" s="4">
        <v>423</v>
      </c>
      <c r="Z132" s="4">
        <v>362</v>
      </c>
      <c r="AA132" s="4">
        <v>368</v>
      </c>
      <c r="AB132" s="4">
        <v>5</v>
      </c>
      <c r="AC132" s="4">
        <v>5</v>
      </c>
      <c r="AD132" s="4">
        <v>18</v>
      </c>
      <c r="AE132" s="4">
        <v>18</v>
      </c>
      <c r="AF132" s="4">
        <v>5</v>
      </c>
      <c r="AG132" s="4">
        <v>5</v>
      </c>
      <c r="AH132" s="4">
        <v>4</v>
      </c>
      <c r="AI132" s="4">
        <v>4</v>
      </c>
      <c r="AJ132" s="4">
        <v>9</v>
      </c>
      <c r="AK132" s="4">
        <v>9</v>
      </c>
      <c r="AL132" s="4">
        <v>3</v>
      </c>
      <c r="AM132" s="4">
        <v>3</v>
      </c>
      <c r="AN132" s="4">
        <v>3</v>
      </c>
      <c r="AO132" s="4">
        <v>3</v>
      </c>
      <c r="AP132" s="3" t="s">
        <v>58</v>
      </c>
      <c r="AQ132" s="3" t="s">
        <v>80</v>
      </c>
      <c r="AR132" s="6" t="str">
        <f>HYPERLINK("http://catalog.hathitrust.org/Record/000363822","HathiTrust Record")</f>
        <v>HathiTrust Record</v>
      </c>
      <c r="AS132" s="6" t="str">
        <f>HYPERLINK("https://creighton-primo.hosted.exlibrisgroup.com/primo-explore/search?tab=default_tab&amp;search_scope=EVERYTHING&amp;vid=01CRU&amp;lang=en_US&amp;offset=0&amp;query=any,contains,991000422619702656","Catalog Record")</f>
        <v>Catalog Record</v>
      </c>
      <c r="AT132" s="6" t="str">
        <f>HYPERLINK("http://www.worldcat.org/oclc/10751325","WorldCat Record")</f>
        <v>WorldCat Record</v>
      </c>
      <c r="AU132" s="3" t="s">
        <v>1789</v>
      </c>
      <c r="AV132" s="3" t="s">
        <v>1790</v>
      </c>
      <c r="AW132" s="3" t="s">
        <v>1791</v>
      </c>
      <c r="AX132" s="3" t="s">
        <v>1791</v>
      </c>
      <c r="AY132" s="3" t="s">
        <v>1792</v>
      </c>
      <c r="AZ132" s="3" t="s">
        <v>74</v>
      </c>
      <c r="BB132" s="3" t="s">
        <v>1793</v>
      </c>
      <c r="BC132" s="3" t="s">
        <v>1794</v>
      </c>
      <c r="BD132" s="3" t="s">
        <v>1795</v>
      </c>
    </row>
    <row r="133" spans="1:56" ht="40.5" customHeight="1" x14ac:dyDescent="0.25">
      <c r="A133" s="7" t="s">
        <v>58</v>
      </c>
      <c r="B133" s="2" t="s">
        <v>1796</v>
      </c>
      <c r="C133" s="2" t="s">
        <v>1797</v>
      </c>
      <c r="D133" s="2" t="s">
        <v>1798</v>
      </c>
      <c r="F133" s="3" t="s">
        <v>58</v>
      </c>
      <c r="G133" s="3" t="s">
        <v>59</v>
      </c>
      <c r="H133" s="3" t="s">
        <v>58</v>
      </c>
      <c r="I133" s="3" t="s">
        <v>58</v>
      </c>
      <c r="J133" s="3" t="s">
        <v>60</v>
      </c>
      <c r="K133" s="2" t="s">
        <v>1799</v>
      </c>
      <c r="L133" s="2" t="s">
        <v>1800</v>
      </c>
      <c r="M133" s="3" t="s">
        <v>1801</v>
      </c>
      <c r="O133" s="3" t="s">
        <v>65</v>
      </c>
      <c r="P133" s="3" t="s">
        <v>66</v>
      </c>
      <c r="R133" s="3" t="s">
        <v>1602</v>
      </c>
      <c r="S133" s="4">
        <v>14</v>
      </c>
      <c r="T133" s="4">
        <v>14</v>
      </c>
      <c r="U133" s="5" t="s">
        <v>1802</v>
      </c>
      <c r="V133" s="5" t="s">
        <v>1802</v>
      </c>
      <c r="W133" s="5" t="s">
        <v>1803</v>
      </c>
      <c r="X133" s="5" t="s">
        <v>1803</v>
      </c>
      <c r="Y133" s="4">
        <v>860</v>
      </c>
      <c r="Z133" s="4">
        <v>777</v>
      </c>
      <c r="AA133" s="4">
        <v>792</v>
      </c>
      <c r="AB133" s="4">
        <v>9</v>
      </c>
      <c r="AC133" s="4">
        <v>9</v>
      </c>
      <c r="AD133" s="4">
        <v>34</v>
      </c>
      <c r="AE133" s="4">
        <v>34</v>
      </c>
      <c r="AF133" s="4">
        <v>11</v>
      </c>
      <c r="AG133" s="4">
        <v>11</v>
      </c>
      <c r="AH133" s="4">
        <v>8</v>
      </c>
      <c r="AI133" s="4">
        <v>8</v>
      </c>
      <c r="AJ133" s="4">
        <v>17</v>
      </c>
      <c r="AK133" s="4">
        <v>17</v>
      </c>
      <c r="AL133" s="4">
        <v>6</v>
      </c>
      <c r="AM133" s="4">
        <v>6</v>
      </c>
      <c r="AN133" s="4">
        <v>0</v>
      </c>
      <c r="AO133" s="4">
        <v>0</v>
      </c>
      <c r="AP133" s="3" t="s">
        <v>58</v>
      </c>
      <c r="AQ133" s="3" t="s">
        <v>58</v>
      </c>
      <c r="AS133" s="6" t="str">
        <f>HYPERLINK("https://creighton-primo.hosted.exlibrisgroup.com/primo-explore/search?tab=default_tab&amp;search_scope=EVERYTHING&amp;vid=01CRU&amp;lang=en_US&amp;offset=0&amp;query=any,contains,991000780479702656","Catalog Record")</f>
        <v>Catalog Record</v>
      </c>
      <c r="AT133" s="6" t="str">
        <f>HYPERLINK("http://www.worldcat.org/oclc/13095382","WorldCat Record")</f>
        <v>WorldCat Record</v>
      </c>
      <c r="AU133" s="3" t="s">
        <v>1804</v>
      </c>
      <c r="AV133" s="3" t="s">
        <v>1805</v>
      </c>
      <c r="AW133" s="3" t="s">
        <v>1806</v>
      </c>
      <c r="AX133" s="3" t="s">
        <v>1806</v>
      </c>
      <c r="AY133" s="3" t="s">
        <v>1807</v>
      </c>
      <c r="AZ133" s="3" t="s">
        <v>74</v>
      </c>
      <c r="BB133" s="3" t="s">
        <v>1808</v>
      </c>
      <c r="BC133" s="3" t="s">
        <v>1809</v>
      </c>
      <c r="BD133" s="3" t="s">
        <v>1810</v>
      </c>
    </row>
    <row r="134" spans="1:56" ht="40.5" customHeight="1" x14ac:dyDescent="0.25">
      <c r="A134" s="7" t="s">
        <v>58</v>
      </c>
      <c r="B134" s="2" t="s">
        <v>1811</v>
      </c>
      <c r="C134" s="2" t="s">
        <v>1812</v>
      </c>
      <c r="D134" s="2" t="s">
        <v>1813</v>
      </c>
      <c r="F134" s="3" t="s">
        <v>58</v>
      </c>
      <c r="G134" s="3" t="s">
        <v>59</v>
      </c>
      <c r="H134" s="3" t="s">
        <v>58</v>
      </c>
      <c r="I134" s="3" t="s">
        <v>58</v>
      </c>
      <c r="J134" s="3" t="s">
        <v>60</v>
      </c>
      <c r="K134" s="2" t="s">
        <v>1814</v>
      </c>
      <c r="L134" s="2" t="s">
        <v>1815</v>
      </c>
      <c r="M134" s="3" t="s">
        <v>1816</v>
      </c>
      <c r="N134" s="2" t="s">
        <v>84</v>
      </c>
      <c r="O134" s="3" t="s">
        <v>65</v>
      </c>
      <c r="P134" s="3" t="s">
        <v>66</v>
      </c>
      <c r="R134" s="3" t="s">
        <v>1602</v>
      </c>
      <c r="S134" s="4">
        <v>2</v>
      </c>
      <c r="T134" s="4">
        <v>2</v>
      </c>
      <c r="U134" s="5" t="s">
        <v>1817</v>
      </c>
      <c r="V134" s="5" t="s">
        <v>1817</v>
      </c>
      <c r="W134" s="5" t="s">
        <v>1818</v>
      </c>
      <c r="X134" s="5" t="s">
        <v>1818</v>
      </c>
      <c r="Y134" s="4">
        <v>539</v>
      </c>
      <c r="Z134" s="4">
        <v>513</v>
      </c>
      <c r="AA134" s="4">
        <v>514</v>
      </c>
      <c r="AB134" s="4">
        <v>3</v>
      </c>
      <c r="AC134" s="4">
        <v>3</v>
      </c>
      <c r="AD134" s="4">
        <v>17</v>
      </c>
      <c r="AE134" s="4">
        <v>17</v>
      </c>
      <c r="AF134" s="4">
        <v>4</v>
      </c>
      <c r="AG134" s="4">
        <v>4</v>
      </c>
      <c r="AH134" s="4">
        <v>5</v>
      </c>
      <c r="AI134" s="4">
        <v>5</v>
      </c>
      <c r="AJ134" s="4">
        <v>9</v>
      </c>
      <c r="AK134" s="4">
        <v>9</v>
      </c>
      <c r="AL134" s="4">
        <v>2</v>
      </c>
      <c r="AM134" s="4">
        <v>2</v>
      </c>
      <c r="AN134" s="4">
        <v>0</v>
      </c>
      <c r="AO134" s="4">
        <v>0</v>
      </c>
      <c r="AP134" s="3" t="s">
        <v>58</v>
      </c>
      <c r="AQ134" s="3" t="s">
        <v>58</v>
      </c>
      <c r="AS134" s="6" t="str">
        <f>HYPERLINK("https://creighton-primo.hosted.exlibrisgroup.com/primo-explore/search?tab=default_tab&amp;search_scope=EVERYTHING&amp;vid=01CRU&amp;lang=en_US&amp;offset=0&amp;query=any,contains,991002712419702656","Catalog Record")</f>
        <v>Catalog Record</v>
      </c>
      <c r="AT134" s="6" t="str">
        <f>HYPERLINK("http://www.worldcat.org/oclc/35566202","WorldCat Record")</f>
        <v>WorldCat Record</v>
      </c>
      <c r="AU134" s="3" t="s">
        <v>1819</v>
      </c>
      <c r="AV134" s="3" t="s">
        <v>1820</v>
      </c>
      <c r="AW134" s="3" t="s">
        <v>1821</v>
      </c>
      <c r="AX134" s="3" t="s">
        <v>1821</v>
      </c>
      <c r="AY134" s="3" t="s">
        <v>1822</v>
      </c>
      <c r="AZ134" s="3" t="s">
        <v>74</v>
      </c>
      <c r="BB134" s="3" t="s">
        <v>1823</v>
      </c>
      <c r="BC134" s="3" t="s">
        <v>1824</v>
      </c>
      <c r="BD134" s="3" t="s">
        <v>1825</v>
      </c>
    </row>
    <row r="135" spans="1:56" ht="40.5" customHeight="1" x14ac:dyDescent="0.25">
      <c r="A135" s="7" t="s">
        <v>58</v>
      </c>
      <c r="B135" s="2" t="s">
        <v>1826</v>
      </c>
      <c r="C135" s="2" t="s">
        <v>1827</v>
      </c>
      <c r="D135" s="2" t="s">
        <v>1828</v>
      </c>
      <c r="F135" s="3" t="s">
        <v>58</v>
      </c>
      <c r="G135" s="3" t="s">
        <v>59</v>
      </c>
      <c r="H135" s="3" t="s">
        <v>58</v>
      </c>
      <c r="I135" s="3" t="s">
        <v>58</v>
      </c>
      <c r="J135" s="3" t="s">
        <v>60</v>
      </c>
      <c r="K135" s="2" t="s">
        <v>1829</v>
      </c>
      <c r="L135" s="2" t="s">
        <v>1830</v>
      </c>
      <c r="M135" s="3" t="s">
        <v>1114</v>
      </c>
      <c r="O135" s="3" t="s">
        <v>65</v>
      </c>
      <c r="P135" s="3" t="s">
        <v>66</v>
      </c>
      <c r="R135" s="3" t="s">
        <v>1602</v>
      </c>
      <c r="S135" s="4">
        <v>2</v>
      </c>
      <c r="T135" s="4">
        <v>2</v>
      </c>
      <c r="U135" s="5" t="s">
        <v>1831</v>
      </c>
      <c r="V135" s="5" t="s">
        <v>1831</v>
      </c>
      <c r="W135" s="5" t="s">
        <v>1832</v>
      </c>
      <c r="X135" s="5" t="s">
        <v>1832</v>
      </c>
      <c r="Y135" s="4">
        <v>486</v>
      </c>
      <c r="Z135" s="4">
        <v>422</v>
      </c>
      <c r="AA135" s="4">
        <v>487</v>
      </c>
      <c r="AB135" s="4">
        <v>5</v>
      </c>
      <c r="AC135" s="4">
        <v>6</v>
      </c>
      <c r="AD135" s="4">
        <v>22</v>
      </c>
      <c r="AE135" s="4">
        <v>25</v>
      </c>
      <c r="AF135" s="4">
        <v>8</v>
      </c>
      <c r="AG135" s="4">
        <v>10</v>
      </c>
      <c r="AH135" s="4">
        <v>6</v>
      </c>
      <c r="AI135" s="4">
        <v>6</v>
      </c>
      <c r="AJ135" s="4">
        <v>9</v>
      </c>
      <c r="AK135" s="4">
        <v>10</v>
      </c>
      <c r="AL135" s="4">
        <v>4</v>
      </c>
      <c r="AM135" s="4">
        <v>5</v>
      </c>
      <c r="AN135" s="4">
        <v>1</v>
      </c>
      <c r="AO135" s="4">
        <v>1</v>
      </c>
      <c r="AP135" s="3" t="s">
        <v>58</v>
      </c>
      <c r="AQ135" s="3" t="s">
        <v>58</v>
      </c>
      <c r="AS135" s="6" t="str">
        <f>HYPERLINK("https://creighton-primo.hosted.exlibrisgroup.com/primo-explore/search?tab=default_tab&amp;search_scope=EVERYTHING&amp;vid=01CRU&amp;lang=en_US&amp;offset=0&amp;query=any,contains,991001976989702656","Catalog Record")</f>
        <v>Catalog Record</v>
      </c>
      <c r="AT135" s="6" t="str">
        <f>HYPERLINK("http://www.worldcat.org/oclc/25051329","WorldCat Record")</f>
        <v>WorldCat Record</v>
      </c>
      <c r="AU135" s="3" t="s">
        <v>1833</v>
      </c>
      <c r="AV135" s="3" t="s">
        <v>1834</v>
      </c>
      <c r="AW135" s="3" t="s">
        <v>1835</v>
      </c>
      <c r="AX135" s="3" t="s">
        <v>1835</v>
      </c>
      <c r="AY135" s="3" t="s">
        <v>1836</v>
      </c>
      <c r="AZ135" s="3" t="s">
        <v>74</v>
      </c>
      <c r="BB135" s="3" t="s">
        <v>1837</v>
      </c>
      <c r="BC135" s="3" t="s">
        <v>1838</v>
      </c>
      <c r="BD135" s="3" t="s">
        <v>1839</v>
      </c>
    </row>
    <row r="136" spans="1:56" ht="40.5" customHeight="1" x14ac:dyDescent="0.25">
      <c r="A136" s="7" t="s">
        <v>58</v>
      </c>
      <c r="B136" s="2" t="s">
        <v>1840</v>
      </c>
      <c r="C136" s="2" t="s">
        <v>1841</v>
      </c>
      <c r="D136" s="2" t="s">
        <v>1842</v>
      </c>
      <c r="F136" s="3" t="s">
        <v>58</v>
      </c>
      <c r="G136" s="3" t="s">
        <v>59</v>
      </c>
      <c r="H136" s="3" t="s">
        <v>58</v>
      </c>
      <c r="I136" s="3" t="s">
        <v>58</v>
      </c>
      <c r="J136" s="3" t="s">
        <v>60</v>
      </c>
      <c r="K136" s="2" t="s">
        <v>1843</v>
      </c>
      <c r="L136" s="2" t="s">
        <v>1844</v>
      </c>
      <c r="M136" s="3" t="s">
        <v>1801</v>
      </c>
      <c r="O136" s="3" t="s">
        <v>65</v>
      </c>
      <c r="P136" s="3" t="s">
        <v>259</v>
      </c>
      <c r="R136" s="3" t="s">
        <v>1602</v>
      </c>
      <c r="S136" s="4">
        <v>6</v>
      </c>
      <c r="T136" s="4">
        <v>6</v>
      </c>
      <c r="U136" s="5" t="s">
        <v>1845</v>
      </c>
      <c r="V136" s="5" t="s">
        <v>1845</v>
      </c>
      <c r="W136" s="5" t="s">
        <v>1740</v>
      </c>
      <c r="X136" s="5" t="s">
        <v>1740</v>
      </c>
      <c r="Y136" s="4">
        <v>432</v>
      </c>
      <c r="Z136" s="4">
        <v>402</v>
      </c>
      <c r="AA136" s="4">
        <v>420</v>
      </c>
      <c r="AB136" s="4">
        <v>3</v>
      </c>
      <c r="AC136" s="4">
        <v>3</v>
      </c>
      <c r="AD136" s="4">
        <v>18</v>
      </c>
      <c r="AE136" s="4">
        <v>18</v>
      </c>
      <c r="AF136" s="4">
        <v>7</v>
      </c>
      <c r="AG136" s="4">
        <v>7</v>
      </c>
      <c r="AH136" s="4">
        <v>3</v>
      </c>
      <c r="AI136" s="4">
        <v>3</v>
      </c>
      <c r="AJ136" s="4">
        <v>11</v>
      </c>
      <c r="AK136" s="4">
        <v>11</v>
      </c>
      <c r="AL136" s="4">
        <v>2</v>
      </c>
      <c r="AM136" s="4">
        <v>2</v>
      </c>
      <c r="AN136" s="4">
        <v>1</v>
      </c>
      <c r="AO136" s="4">
        <v>1</v>
      </c>
      <c r="AP136" s="3" t="s">
        <v>58</v>
      </c>
      <c r="AQ136" s="3" t="s">
        <v>80</v>
      </c>
      <c r="AR136" s="6" t="str">
        <f>HYPERLINK("http://catalog.hathitrust.org/Record/000623204","HathiTrust Record")</f>
        <v>HathiTrust Record</v>
      </c>
      <c r="AS136" s="6" t="str">
        <f>HYPERLINK("https://creighton-primo.hosted.exlibrisgroup.com/primo-explore/search?tab=default_tab&amp;search_scope=EVERYTHING&amp;vid=01CRU&amp;lang=en_US&amp;offset=0&amp;query=any,contains,991000656409702656","Catalog Record")</f>
        <v>Catalog Record</v>
      </c>
      <c r="AT136" s="6" t="str">
        <f>HYPERLINK("http://www.worldcat.org/oclc/12215640","WorldCat Record")</f>
        <v>WorldCat Record</v>
      </c>
      <c r="AU136" s="3" t="s">
        <v>1846</v>
      </c>
      <c r="AV136" s="3" t="s">
        <v>1847</v>
      </c>
      <c r="AW136" s="3" t="s">
        <v>1848</v>
      </c>
      <c r="AX136" s="3" t="s">
        <v>1848</v>
      </c>
      <c r="AY136" s="3" t="s">
        <v>1849</v>
      </c>
      <c r="AZ136" s="3" t="s">
        <v>74</v>
      </c>
      <c r="BB136" s="3" t="s">
        <v>1850</v>
      </c>
      <c r="BC136" s="3" t="s">
        <v>1851</v>
      </c>
      <c r="BD136" s="3" t="s">
        <v>1852</v>
      </c>
    </row>
    <row r="137" spans="1:56" ht="40.5" customHeight="1" x14ac:dyDescent="0.25">
      <c r="A137" s="7" t="s">
        <v>58</v>
      </c>
      <c r="B137" s="2" t="s">
        <v>1853</v>
      </c>
      <c r="C137" s="2" t="s">
        <v>1854</v>
      </c>
      <c r="D137" s="2" t="s">
        <v>1855</v>
      </c>
      <c r="F137" s="3" t="s">
        <v>58</v>
      </c>
      <c r="G137" s="3" t="s">
        <v>59</v>
      </c>
      <c r="H137" s="3" t="s">
        <v>58</v>
      </c>
      <c r="I137" s="3" t="s">
        <v>58</v>
      </c>
      <c r="J137" s="3" t="s">
        <v>60</v>
      </c>
      <c r="K137" s="2" t="s">
        <v>1856</v>
      </c>
      <c r="L137" s="2" t="s">
        <v>1857</v>
      </c>
      <c r="M137" s="3" t="s">
        <v>139</v>
      </c>
      <c r="O137" s="3" t="s">
        <v>65</v>
      </c>
      <c r="P137" s="3" t="s">
        <v>1858</v>
      </c>
      <c r="R137" s="3" t="s">
        <v>1602</v>
      </c>
      <c r="S137" s="4">
        <v>1</v>
      </c>
      <c r="T137" s="4">
        <v>1</v>
      </c>
      <c r="U137" s="5" t="s">
        <v>1859</v>
      </c>
      <c r="V137" s="5" t="s">
        <v>1859</v>
      </c>
      <c r="W137" s="5" t="s">
        <v>1860</v>
      </c>
      <c r="X137" s="5" t="s">
        <v>1860</v>
      </c>
      <c r="Y137" s="4">
        <v>468</v>
      </c>
      <c r="Z137" s="4">
        <v>435</v>
      </c>
      <c r="AA137" s="4">
        <v>442</v>
      </c>
      <c r="AB137" s="4">
        <v>4</v>
      </c>
      <c r="AC137" s="4">
        <v>4</v>
      </c>
      <c r="AD137" s="4">
        <v>22</v>
      </c>
      <c r="AE137" s="4">
        <v>22</v>
      </c>
      <c r="AF137" s="4">
        <v>7</v>
      </c>
      <c r="AG137" s="4">
        <v>7</v>
      </c>
      <c r="AH137" s="4">
        <v>7</v>
      </c>
      <c r="AI137" s="4">
        <v>7</v>
      </c>
      <c r="AJ137" s="4">
        <v>9</v>
      </c>
      <c r="AK137" s="4">
        <v>9</v>
      </c>
      <c r="AL137" s="4">
        <v>3</v>
      </c>
      <c r="AM137" s="4">
        <v>3</v>
      </c>
      <c r="AN137" s="4">
        <v>2</v>
      </c>
      <c r="AO137" s="4">
        <v>2</v>
      </c>
      <c r="AP137" s="3" t="s">
        <v>58</v>
      </c>
      <c r="AQ137" s="3" t="s">
        <v>80</v>
      </c>
      <c r="AR137" s="6" t="str">
        <f>HYPERLINK("http://catalog.hathitrust.org/Record/001295201","HathiTrust Record")</f>
        <v>HathiTrust Record</v>
      </c>
      <c r="AS137" s="6" t="str">
        <f>HYPERLINK("https://creighton-primo.hosted.exlibrisgroup.com/primo-explore/search?tab=default_tab&amp;search_scope=EVERYTHING&amp;vid=01CRU&amp;lang=en_US&amp;offset=0&amp;query=any,contains,991001360819702656","Catalog Record")</f>
        <v>Catalog Record</v>
      </c>
      <c r="AT137" s="6" t="str">
        <f>HYPERLINK("http://www.worldcat.org/oclc/18521071","WorldCat Record")</f>
        <v>WorldCat Record</v>
      </c>
      <c r="AU137" s="3" t="s">
        <v>1861</v>
      </c>
      <c r="AV137" s="3" t="s">
        <v>1862</v>
      </c>
      <c r="AW137" s="3" t="s">
        <v>1863</v>
      </c>
      <c r="AX137" s="3" t="s">
        <v>1863</v>
      </c>
      <c r="AY137" s="3" t="s">
        <v>1864</v>
      </c>
      <c r="AZ137" s="3" t="s">
        <v>74</v>
      </c>
      <c r="BB137" s="3" t="s">
        <v>1865</v>
      </c>
      <c r="BC137" s="3" t="s">
        <v>1866</v>
      </c>
      <c r="BD137" s="3" t="s">
        <v>1867</v>
      </c>
    </row>
    <row r="138" spans="1:56" ht="40.5" customHeight="1" x14ac:dyDescent="0.25">
      <c r="A138" s="7" t="s">
        <v>58</v>
      </c>
      <c r="B138" s="2" t="s">
        <v>1868</v>
      </c>
      <c r="C138" s="2" t="s">
        <v>1869</v>
      </c>
      <c r="D138" s="2" t="s">
        <v>1870</v>
      </c>
      <c r="F138" s="3" t="s">
        <v>58</v>
      </c>
      <c r="G138" s="3" t="s">
        <v>59</v>
      </c>
      <c r="H138" s="3" t="s">
        <v>58</v>
      </c>
      <c r="I138" s="3" t="s">
        <v>58</v>
      </c>
      <c r="J138" s="3" t="s">
        <v>60</v>
      </c>
      <c r="K138" s="2" t="s">
        <v>1871</v>
      </c>
      <c r="L138" s="2" t="s">
        <v>1872</v>
      </c>
      <c r="M138" s="3" t="s">
        <v>1213</v>
      </c>
      <c r="O138" s="3" t="s">
        <v>65</v>
      </c>
      <c r="P138" s="3" t="s">
        <v>66</v>
      </c>
      <c r="R138" s="3" t="s">
        <v>1602</v>
      </c>
      <c r="S138" s="4">
        <v>1</v>
      </c>
      <c r="T138" s="4">
        <v>1</v>
      </c>
      <c r="U138" s="5" t="s">
        <v>1873</v>
      </c>
      <c r="V138" s="5" t="s">
        <v>1873</v>
      </c>
      <c r="W138" s="5" t="s">
        <v>1873</v>
      </c>
      <c r="X138" s="5" t="s">
        <v>1873</v>
      </c>
      <c r="Y138" s="4">
        <v>257</v>
      </c>
      <c r="Z138" s="4">
        <v>235</v>
      </c>
      <c r="AA138" s="4">
        <v>913</v>
      </c>
      <c r="AB138" s="4">
        <v>3</v>
      </c>
      <c r="AC138" s="4">
        <v>28</v>
      </c>
      <c r="AD138" s="4">
        <v>10</v>
      </c>
      <c r="AE138" s="4">
        <v>32</v>
      </c>
      <c r="AF138" s="4">
        <v>2</v>
      </c>
      <c r="AG138" s="4">
        <v>10</v>
      </c>
      <c r="AH138" s="4">
        <v>3</v>
      </c>
      <c r="AI138" s="4">
        <v>5</v>
      </c>
      <c r="AJ138" s="4">
        <v>6</v>
      </c>
      <c r="AK138" s="4">
        <v>10</v>
      </c>
      <c r="AL138" s="4">
        <v>2</v>
      </c>
      <c r="AM138" s="4">
        <v>13</v>
      </c>
      <c r="AN138" s="4">
        <v>0</v>
      </c>
      <c r="AO138" s="4">
        <v>0</v>
      </c>
      <c r="AP138" s="3" t="s">
        <v>58</v>
      </c>
      <c r="AQ138" s="3" t="s">
        <v>80</v>
      </c>
      <c r="AR138" s="6" t="str">
        <f>HYPERLINK("http://catalog.hathitrust.org/Record/004300855","HathiTrust Record")</f>
        <v>HathiTrust Record</v>
      </c>
      <c r="AS138" s="6" t="str">
        <f>HYPERLINK("https://creighton-primo.hosted.exlibrisgroup.com/primo-explore/search?tab=default_tab&amp;search_scope=EVERYTHING&amp;vid=01CRU&amp;lang=en_US&amp;offset=0&amp;query=any,contains,991004015849702656","Catalog Record")</f>
        <v>Catalog Record</v>
      </c>
      <c r="AT138" s="6" t="str">
        <f>HYPERLINK("http://www.worldcat.org/oclc/48390632","WorldCat Record")</f>
        <v>WorldCat Record</v>
      </c>
      <c r="AU138" s="3" t="s">
        <v>1874</v>
      </c>
      <c r="AV138" s="3" t="s">
        <v>1875</v>
      </c>
      <c r="AW138" s="3" t="s">
        <v>1876</v>
      </c>
      <c r="AX138" s="3" t="s">
        <v>1876</v>
      </c>
      <c r="AY138" s="3" t="s">
        <v>1877</v>
      </c>
      <c r="AZ138" s="3" t="s">
        <v>74</v>
      </c>
      <c r="BB138" s="3" t="s">
        <v>1878</v>
      </c>
      <c r="BC138" s="3" t="s">
        <v>1879</v>
      </c>
      <c r="BD138" s="3" t="s">
        <v>1880</v>
      </c>
    </row>
    <row r="139" spans="1:56" ht="40.5" customHeight="1" x14ac:dyDescent="0.25">
      <c r="A139" s="7" t="s">
        <v>58</v>
      </c>
      <c r="B139" s="2" t="s">
        <v>1881</v>
      </c>
      <c r="C139" s="2" t="s">
        <v>1882</v>
      </c>
      <c r="D139" s="2" t="s">
        <v>1883</v>
      </c>
      <c r="F139" s="3" t="s">
        <v>58</v>
      </c>
      <c r="G139" s="3" t="s">
        <v>59</v>
      </c>
      <c r="H139" s="3" t="s">
        <v>58</v>
      </c>
      <c r="I139" s="3" t="s">
        <v>58</v>
      </c>
      <c r="J139" s="3" t="s">
        <v>60</v>
      </c>
      <c r="K139" s="2" t="s">
        <v>1884</v>
      </c>
      <c r="L139" s="2" t="s">
        <v>1885</v>
      </c>
      <c r="M139" s="3" t="s">
        <v>1801</v>
      </c>
      <c r="O139" s="3" t="s">
        <v>65</v>
      </c>
      <c r="P139" s="3" t="s">
        <v>169</v>
      </c>
      <c r="Q139" s="2" t="s">
        <v>1886</v>
      </c>
      <c r="R139" s="3" t="s">
        <v>1602</v>
      </c>
      <c r="S139" s="4">
        <v>2</v>
      </c>
      <c r="T139" s="4">
        <v>2</v>
      </c>
      <c r="U139" s="5" t="s">
        <v>1887</v>
      </c>
      <c r="V139" s="5" t="s">
        <v>1887</v>
      </c>
      <c r="W139" s="5" t="s">
        <v>1700</v>
      </c>
      <c r="X139" s="5" t="s">
        <v>1700</v>
      </c>
      <c r="Y139" s="4">
        <v>252</v>
      </c>
      <c r="Z139" s="4">
        <v>217</v>
      </c>
      <c r="AA139" s="4">
        <v>244</v>
      </c>
      <c r="AB139" s="4">
        <v>3</v>
      </c>
      <c r="AC139" s="4">
        <v>3</v>
      </c>
      <c r="AD139" s="4">
        <v>9</v>
      </c>
      <c r="AE139" s="4">
        <v>9</v>
      </c>
      <c r="AF139" s="4">
        <v>2</v>
      </c>
      <c r="AG139" s="4">
        <v>2</v>
      </c>
      <c r="AH139" s="4">
        <v>2</v>
      </c>
      <c r="AI139" s="4">
        <v>2</v>
      </c>
      <c r="AJ139" s="4">
        <v>6</v>
      </c>
      <c r="AK139" s="4">
        <v>6</v>
      </c>
      <c r="AL139" s="4">
        <v>2</v>
      </c>
      <c r="AM139" s="4">
        <v>2</v>
      </c>
      <c r="AN139" s="4">
        <v>1</v>
      </c>
      <c r="AO139" s="4">
        <v>1</v>
      </c>
      <c r="AP139" s="3" t="s">
        <v>58</v>
      </c>
      <c r="AQ139" s="3" t="s">
        <v>80</v>
      </c>
      <c r="AR139" s="6" t="str">
        <f>HYPERLINK("http://catalog.hathitrust.org/Record/006235360","HathiTrust Record")</f>
        <v>HathiTrust Record</v>
      </c>
      <c r="AS139" s="6" t="str">
        <f>HYPERLINK("https://creighton-primo.hosted.exlibrisgroup.com/primo-explore/search?tab=default_tab&amp;search_scope=EVERYTHING&amp;vid=01CRU&amp;lang=en_US&amp;offset=0&amp;query=any,contains,991000749589702656","Catalog Record")</f>
        <v>Catalog Record</v>
      </c>
      <c r="AT139" s="6" t="str">
        <f>HYPERLINK("http://www.worldcat.org/oclc/12907571","WorldCat Record")</f>
        <v>WorldCat Record</v>
      </c>
      <c r="AU139" s="3" t="s">
        <v>1888</v>
      </c>
      <c r="AV139" s="3" t="s">
        <v>1889</v>
      </c>
      <c r="AW139" s="3" t="s">
        <v>1890</v>
      </c>
      <c r="AX139" s="3" t="s">
        <v>1890</v>
      </c>
      <c r="AY139" s="3" t="s">
        <v>1891</v>
      </c>
      <c r="AZ139" s="3" t="s">
        <v>74</v>
      </c>
      <c r="BB139" s="3" t="s">
        <v>1892</v>
      </c>
      <c r="BC139" s="3" t="s">
        <v>1893</v>
      </c>
      <c r="BD139" s="3" t="s">
        <v>1894</v>
      </c>
    </row>
    <row r="140" spans="1:56" ht="40.5" customHeight="1" x14ac:dyDescent="0.25">
      <c r="A140" s="7" t="s">
        <v>58</v>
      </c>
      <c r="B140" s="2" t="s">
        <v>1895</v>
      </c>
      <c r="C140" s="2" t="s">
        <v>1896</v>
      </c>
      <c r="D140" s="2" t="s">
        <v>1897</v>
      </c>
      <c r="F140" s="3" t="s">
        <v>58</v>
      </c>
      <c r="G140" s="3" t="s">
        <v>59</v>
      </c>
      <c r="H140" s="3" t="s">
        <v>58</v>
      </c>
      <c r="I140" s="3" t="s">
        <v>58</v>
      </c>
      <c r="J140" s="3" t="s">
        <v>60</v>
      </c>
      <c r="L140" s="2" t="s">
        <v>1898</v>
      </c>
      <c r="M140" s="3" t="s">
        <v>1816</v>
      </c>
      <c r="O140" s="3" t="s">
        <v>65</v>
      </c>
      <c r="P140" s="3" t="s">
        <v>169</v>
      </c>
      <c r="R140" s="3" t="s">
        <v>1602</v>
      </c>
      <c r="S140" s="4">
        <v>3</v>
      </c>
      <c r="T140" s="4">
        <v>3</v>
      </c>
      <c r="U140" s="5" t="s">
        <v>1899</v>
      </c>
      <c r="V140" s="5" t="s">
        <v>1899</v>
      </c>
      <c r="W140" s="5" t="s">
        <v>1900</v>
      </c>
      <c r="X140" s="5" t="s">
        <v>1900</v>
      </c>
      <c r="Y140" s="4">
        <v>662</v>
      </c>
      <c r="Z140" s="4">
        <v>604</v>
      </c>
      <c r="AA140" s="4">
        <v>608</v>
      </c>
      <c r="AB140" s="4">
        <v>5</v>
      </c>
      <c r="AC140" s="4">
        <v>5</v>
      </c>
      <c r="AD140" s="4">
        <v>33</v>
      </c>
      <c r="AE140" s="4">
        <v>33</v>
      </c>
      <c r="AF140" s="4">
        <v>12</v>
      </c>
      <c r="AG140" s="4">
        <v>12</v>
      </c>
      <c r="AH140" s="4">
        <v>6</v>
      </c>
      <c r="AI140" s="4">
        <v>6</v>
      </c>
      <c r="AJ140" s="4">
        <v>17</v>
      </c>
      <c r="AK140" s="4">
        <v>17</v>
      </c>
      <c r="AL140" s="4">
        <v>4</v>
      </c>
      <c r="AM140" s="4">
        <v>4</v>
      </c>
      <c r="AN140" s="4">
        <v>3</v>
      </c>
      <c r="AO140" s="4">
        <v>3</v>
      </c>
      <c r="AP140" s="3" t="s">
        <v>58</v>
      </c>
      <c r="AQ140" s="3" t="s">
        <v>58</v>
      </c>
      <c r="AS140" s="6" t="str">
        <f>HYPERLINK("https://creighton-primo.hosted.exlibrisgroup.com/primo-explore/search?tab=default_tab&amp;search_scope=EVERYTHING&amp;vid=01CRU&amp;lang=en_US&amp;offset=0&amp;query=any,contains,991002732419702656","Catalog Record")</f>
        <v>Catalog Record</v>
      </c>
      <c r="AT140" s="6" t="str">
        <f>HYPERLINK("http://www.worldcat.org/oclc/35842596","WorldCat Record")</f>
        <v>WorldCat Record</v>
      </c>
      <c r="AU140" s="3" t="s">
        <v>1901</v>
      </c>
      <c r="AV140" s="3" t="s">
        <v>1902</v>
      </c>
      <c r="AW140" s="3" t="s">
        <v>1903</v>
      </c>
      <c r="AX140" s="3" t="s">
        <v>1903</v>
      </c>
      <c r="AY140" s="3" t="s">
        <v>1904</v>
      </c>
      <c r="AZ140" s="3" t="s">
        <v>74</v>
      </c>
      <c r="BB140" s="3" t="s">
        <v>1905</v>
      </c>
      <c r="BC140" s="3" t="s">
        <v>1906</v>
      </c>
      <c r="BD140" s="3" t="s">
        <v>1907</v>
      </c>
    </row>
    <row r="141" spans="1:56" ht="40.5" customHeight="1" x14ac:dyDescent="0.25">
      <c r="A141" s="7" t="s">
        <v>58</v>
      </c>
      <c r="B141" s="2" t="s">
        <v>1908</v>
      </c>
      <c r="C141" s="2" t="s">
        <v>1909</v>
      </c>
      <c r="D141" s="2" t="s">
        <v>1910</v>
      </c>
      <c r="F141" s="3" t="s">
        <v>58</v>
      </c>
      <c r="G141" s="3" t="s">
        <v>59</v>
      </c>
      <c r="H141" s="3" t="s">
        <v>58</v>
      </c>
      <c r="I141" s="3" t="s">
        <v>58</v>
      </c>
      <c r="J141" s="3" t="s">
        <v>60</v>
      </c>
      <c r="K141" s="2" t="s">
        <v>1911</v>
      </c>
      <c r="L141" s="2" t="s">
        <v>1912</v>
      </c>
      <c r="M141" s="3" t="s">
        <v>243</v>
      </c>
      <c r="O141" s="3" t="s">
        <v>65</v>
      </c>
      <c r="P141" s="3" t="s">
        <v>275</v>
      </c>
      <c r="R141" s="3" t="s">
        <v>1602</v>
      </c>
      <c r="S141" s="4">
        <v>5</v>
      </c>
      <c r="T141" s="4">
        <v>5</v>
      </c>
      <c r="U141" s="5" t="s">
        <v>1913</v>
      </c>
      <c r="V141" s="5" t="s">
        <v>1913</v>
      </c>
      <c r="W141" s="5" t="s">
        <v>1914</v>
      </c>
      <c r="X141" s="5" t="s">
        <v>1914</v>
      </c>
      <c r="Y141" s="4">
        <v>652</v>
      </c>
      <c r="Z141" s="4">
        <v>545</v>
      </c>
      <c r="AA141" s="4">
        <v>723</v>
      </c>
      <c r="AB141" s="4">
        <v>3</v>
      </c>
      <c r="AC141" s="4">
        <v>4</v>
      </c>
      <c r="AD141" s="4">
        <v>29</v>
      </c>
      <c r="AE141" s="4">
        <v>30</v>
      </c>
      <c r="AF141" s="4">
        <v>10</v>
      </c>
      <c r="AG141" s="4">
        <v>11</v>
      </c>
      <c r="AH141" s="4">
        <v>8</v>
      </c>
      <c r="AI141" s="4">
        <v>8</v>
      </c>
      <c r="AJ141" s="4">
        <v>13</v>
      </c>
      <c r="AK141" s="4">
        <v>13</v>
      </c>
      <c r="AL141" s="4">
        <v>2</v>
      </c>
      <c r="AM141" s="4">
        <v>2</v>
      </c>
      <c r="AN141" s="4">
        <v>3</v>
      </c>
      <c r="AO141" s="4">
        <v>3</v>
      </c>
      <c r="AP141" s="3" t="s">
        <v>58</v>
      </c>
      <c r="AQ141" s="3" t="s">
        <v>58</v>
      </c>
      <c r="AS141" s="6" t="str">
        <f>HYPERLINK("https://creighton-primo.hosted.exlibrisgroup.com/primo-explore/search?tab=default_tab&amp;search_scope=EVERYTHING&amp;vid=01CRU&amp;lang=en_US&amp;offset=0&amp;query=any,contains,991002059549702656","Catalog Record")</f>
        <v>Catalog Record</v>
      </c>
      <c r="AT141" s="6" t="str">
        <f>HYPERLINK("http://www.worldcat.org/oclc/19980954","WorldCat Record")</f>
        <v>WorldCat Record</v>
      </c>
      <c r="AU141" s="3" t="s">
        <v>1915</v>
      </c>
      <c r="AV141" s="3" t="s">
        <v>1916</v>
      </c>
      <c r="AW141" s="3" t="s">
        <v>1917</v>
      </c>
      <c r="AX141" s="3" t="s">
        <v>1917</v>
      </c>
      <c r="AY141" s="3" t="s">
        <v>1918</v>
      </c>
      <c r="AZ141" s="3" t="s">
        <v>74</v>
      </c>
      <c r="BB141" s="3" t="s">
        <v>1919</v>
      </c>
      <c r="BC141" s="3" t="s">
        <v>1920</v>
      </c>
      <c r="BD141" s="3" t="s">
        <v>1921</v>
      </c>
    </row>
    <row r="142" spans="1:56" ht="40.5" customHeight="1" x14ac:dyDescent="0.25">
      <c r="A142" s="7" t="s">
        <v>58</v>
      </c>
      <c r="B142" s="2" t="s">
        <v>1922</v>
      </c>
      <c r="C142" s="2" t="s">
        <v>1923</v>
      </c>
      <c r="D142" s="2" t="s">
        <v>1924</v>
      </c>
      <c r="F142" s="3" t="s">
        <v>58</v>
      </c>
      <c r="G142" s="3" t="s">
        <v>59</v>
      </c>
      <c r="H142" s="3" t="s">
        <v>58</v>
      </c>
      <c r="I142" s="3" t="s">
        <v>58</v>
      </c>
      <c r="J142" s="3" t="s">
        <v>60</v>
      </c>
      <c r="L142" s="2" t="s">
        <v>1925</v>
      </c>
      <c r="M142" s="3" t="s">
        <v>1926</v>
      </c>
      <c r="O142" s="3" t="s">
        <v>65</v>
      </c>
      <c r="P142" s="3" t="s">
        <v>169</v>
      </c>
      <c r="Q142" s="2" t="s">
        <v>1927</v>
      </c>
      <c r="R142" s="3" t="s">
        <v>1602</v>
      </c>
      <c r="S142" s="4">
        <v>7</v>
      </c>
      <c r="T142" s="4">
        <v>7</v>
      </c>
      <c r="U142" s="5" t="s">
        <v>1928</v>
      </c>
      <c r="V142" s="5" t="s">
        <v>1928</v>
      </c>
      <c r="W142" s="5" t="s">
        <v>1929</v>
      </c>
      <c r="X142" s="5" t="s">
        <v>1929</v>
      </c>
      <c r="Y142" s="4">
        <v>635</v>
      </c>
      <c r="Z142" s="4">
        <v>588</v>
      </c>
      <c r="AA142" s="4">
        <v>606</v>
      </c>
      <c r="AB142" s="4">
        <v>7</v>
      </c>
      <c r="AC142" s="4">
        <v>7</v>
      </c>
      <c r="AD142" s="4">
        <v>37</v>
      </c>
      <c r="AE142" s="4">
        <v>38</v>
      </c>
      <c r="AF142" s="4">
        <v>7</v>
      </c>
      <c r="AG142" s="4">
        <v>7</v>
      </c>
      <c r="AH142" s="4">
        <v>8</v>
      </c>
      <c r="AI142" s="4">
        <v>8</v>
      </c>
      <c r="AJ142" s="4">
        <v>12</v>
      </c>
      <c r="AK142" s="4">
        <v>12</v>
      </c>
      <c r="AL142" s="4">
        <v>5</v>
      </c>
      <c r="AM142" s="4">
        <v>5</v>
      </c>
      <c r="AN142" s="4">
        <v>11</v>
      </c>
      <c r="AO142" s="4">
        <v>12</v>
      </c>
      <c r="AP142" s="3" t="s">
        <v>58</v>
      </c>
      <c r="AQ142" s="3" t="s">
        <v>80</v>
      </c>
      <c r="AR142" s="6" t="str">
        <f>HYPERLINK("http://catalog.hathitrust.org/Record/000734933","HathiTrust Record")</f>
        <v>HathiTrust Record</v>
      </c>
      <c r="AS142" s="6" t="str">
        <f>HYPERLINK("https://creighton-primo.hosted.exlibrisgroup.com/primo-explore/search?tab=default_tab&amp;search_scope=EVERYTHING&amp;vid=01CRU&amp;lang=en_US&amp;offset=0&amp;query=any,contains,991004999459702656","Catalog Record")</f>
        <v>Catalog Record</v>
      </c>
      <c r="AT142" s="6" t="str">
        <f>HYPERLINK("http://www.worldcat.org/oclc/6533289","WorldCat Record")</f>
        <v>WorldCat Record</v>
      </c>
      <c r="AU142" s="3" t="s">
        <v>1930</v>
      </c>
      <c r="AV142" s="3" t="s">
        <v>1931</v>
      </c>
      <c r="AW142" s="3" t="s">
        <v>1932</v>
      </c>
      <c r="AX142" s="3" t="s">
        <v>1932</v>
      </c>
      <c r="AY142" s="3" t="s">
        <v>1933</v>
      </c>
      <c r="AZ142" s="3" t="s">
        <v>74</v>
      </c>
      <c r="BB142" s="3" t="s">
        <v>1934</v>
      </c>
      <c r="BC142" s="3" t="s">
        <v>1935</v>
      </c>
      <c r="BD142" s="3" t="s">
        <v>1936</v>
      </c>
    </row>
    <row r="143" spans="1:56" ht="40.5" customHeight="1" x14ac:dyDescent="0.25">
      <c r="A143" s="7" t="s">
        <v>58</v>
      </c>
      <c r="B143" s="2" t="s">
        <v>1937</v>
      </c>
      <c r="C143" s="2" t="s">
        <v>1938</v>
      </c>
      <c r="D143" s="2" t="s">
        <v>1939</v>
      </c>
      <c r="F143" s="3" t="s">
        <v>58</v>
      </c>
      <c r="G143" s="3" t="s">
        <v>59</v>
      </c>
      <c r="H143" s="3" t="s">
        <v>58</v>
      </c>
      <c r="I143" s="3" t="s">
        <v>58</v>
      </c>
      <c r="J143" s="3" t="s">
        <v>60</v>
      </c>
      <c r="K143" s="2" t="s">
        <v>1940</v>
      </c>
      <c r="L143" s="2" t="s">
        <v>1941</v>
      </c>
      <c r="M143" s="3" t="s">
        <v>83</v>
      </c>
      <c r="O143" s="3" t="s">
        <v>65</v>
      </c>
      <c r="P143" s="3" t="s">
        <v>66</v>
      </c>
      <c r="R143" s="3" t="s">
        <v>1602</v>
      </c>
      <c r="S143" s="4">
        <v>3</v>
      </c>
      <c r="T143" s="4">
        <v>3</v>
      </c>
      <c r="U143" s="5" t="s">
        <v>1942</v>
      </c>
      <c r="V143" s="5" t="s">
        <v>1942</v>
      </c>
      <c r="W143" s="5" t="s">
        <v>1943</v>
      </c>
      <c r="X143" s="5" t="s">
        <v>1943</v>
      </c>
      <c r="Y143" s="4">
        <v>930</v>
      </c>
      <c r="Z143" s="4">
        <v>893</v>
      </c>
      <c r="AA143" s="4">
        <v>898</v>
      </c>
      <c r="AB143" s="4">
        <v>5</v>
      </c>
      <c r="AC143" s="4">
        <v>5</v>
      </c>
      <c r="AD143" s="4">
        <v>23</v>
      </c>
      <c r="AE143" s="4">
        <v>23</v>
      </c>
      <c r="AF143" s="4">
        <v>10</v>
      </c>
      <c r="AG143" s="4">
        <v>10</v>
      </c>
      <c r="AH143" s="4">
        <v>5</v>
      </c>
      <c r="AI143" s="4">
        <v>5</v>
      </c>
      <c r="AJ143" s="4">
        <v>10</v>
      </c>
      <c r="AK143" s="4">
        <v>10</v>
      </c>
      <c r="AL143" s="4">
        <v>4</v>
      </c>
      <c r="AM143" s="4">
        <v>4</v>
      </c>
      <c r="AN143" s="4">
        <v>1</v>
      </c>
      <c r="AO143" s="4">
        <v>1</v>
      </c>
      <c r="AP143" s="3" t="s">
        <v>58</v>
      </c>
      <c r="AQ143" s="3" t="s">
        <v>58</v>
      </c>
      <c r="AS143" s="6" t="str">
        <f>HYPERLINK("https://creighton-primo.hosted.exlibrisgroup.com/primo-explore/search?tab=default_tab&amp;search_scope=EVERYTHING&amp;vid=01CRU&amp;lang=en_US&amp;offset=0&amp;query=any,contains,991000497239702656","Catalog Record")</f>
        <v>Catalog Record</v>
      </c>
      <c r="AT143" s="6" t="str">
        <f>HYPERLINK("http://www.worldcat.org/oclc/11156303","WorldCat Record")</f>
        <v>WorldCat Record</v>
      </c>
      <c r="AU143" s="3" t="s">
        <v>1944</v>
      </c>
      <c r="AV143" s="3" t="s">
        <v>1945</v>
      </c>
      <c r="AW143" s="3" t="s">
        <v>1946</v>
      </c>
      <c r="AX143" s="3" t="s">
        <v>1946</v>
      </c>
      <c r="AY143" s="3" t="s">
        <v>1947</v>
      </c>
      <c r="AZ143" s="3" t="s">
        <v>74</v>
      </c>
      <c r="BB143" s="3" t="s">
        <v>1948</v>
      </c>
      <c r="BC143" s="3" t="s">
        <v>1949</v>
      </c>
      <c r="BD143" s="3" t="s">
        <v>1950</v>
      </c>
    </row>
    <row r="144" spans="1:56" ht="40.5" customHeight="1" x14ac:dyDescent="0.25">
      <c r="A144" s="7" t="s">
        <v>58</v>
      </c>
      <c r="B144" s="2" t="s">
        <v>1951</v>
      </c>
      <c r="C144" s="2" t="s">
        <v>1952</v>
      </c>
      <c r="D144" s="2" t="s">
        <v>1953</v>
      </c>
      <c r="F144" s="3" t="s">
        <v>58</v>
      </c>
      <c r="G144" s="3" t="s">
        <v>59</v>
      </c>
      <c r="H144" s="3" t="s">
        <v>58</v>
      </c>
      <c r="I144" s="3" t="s">
        <v>58</v>
      </c>
      <c r="J144" s="3" t="s">
        <v>60</v>
      </c>
      <c r="K144" s="2" t="s">
        <v>1954</v>
      </c>
      <c r="L144" s="2" t="s">
        <v>1955</v>
      </c>
      <c r="M144" s="3" t="s">
        <v>154</v>
      </c>
      <c r="O144" s="3" t="s">
        <v>65</v>
      </c>
      <c r="P144" s="3" t="s">
        <v>214</v>
      </c>
      <c r="Q144" s="2" t="s">
        <v>1956</v>
      </c>
      <c r="R144" s="3" t="s">
        <v>1602</v>
      </c>
      <c r="S144" s="4">
        <v>1</v>
      </c>
      <c r="T144" s="4">
        <v>1</v>
      </c>
      <c r="U144" s="5" t="s">
        <v>1957</v>
      </c>
      <c r="V144" s="5" t="s">
        <v>1957</v>
      </c>
      <c r="W144" s="5" t="s">
        <v>1943</v>
      </c>
      <c r="X144" s="5" t="s">
        <v>1943</v>
      </c>
      <c r="Y144" s="4">
        <v>459</v>
      </c>
      <c r="Z144" s="4">
        <v>360</v>
      </c>
      <c r="AA144" s="4">
        <v>373</v>
      </c>
      <c r="AB144" s="4">
        <v>3</v>
      </c>
      <c r="AC144" s="4">
        <v>3</v>
      </c>
      <c r="AD144" s="4">
        <v>19</v>
      </c>
      <c r="AE144" s="4">
        <v>19</v>
      </c>
      <c r="AF144" s="4">
        <v>4</v>
      </c>
      <c r="AG144" s="4">
        <v>4</v>
      </c>
      <c r="AH144" s="4">
        <v>5</v>
      </c>
      <c r="AI144" s="4">
        <v>5</v>
      </c>
      <c r="AJ144" s="4">
        <v>12</v>
      </c>
      <c r="AK144" s="4">
        <v>12</v>
      </c>
      <c r="AL144" s="4">
        <v>2</v>
      </c>
      <c r="AM144" s="4">
        <v>2</v>
      </c>
      <c r="AN144" s="4">
        <v>0</v>
      </c>
      <c r="AO144" s="4">
        <v>0</v>
      </c>
      <c r="AP144" s="3" t="s">
        <v>58</v>
      </c>
      <c r="AQ144" s="3" t="s">
        <v>80</v>
      </c>
      <c r="AR144" s="6" t="str">
        <f>HYPERLINK("http://catalog.hathitrust.org/Record/000004005","HathiTrust Record")</f>
        <v>HathiTrust Record</v>
      </c>
      <c r="AS144" s="6" t="str">
        <f>HYPERLINK("https://creighton-primo.hosted.exlibrisgroup.com/primo-explore/search?tab=default_tab&amp;search_scope=EVERYTHING&amp;vid=01CRU&amp;lang=en_US&amp;offset=0&amp;query=any,contains,991002179159702656","Catalog Record")</f>
        <v>Catalog Record</v>
      </c>
      <c r="AT144" s="6" t="str">
        <f>HYPERLINK("http://www.worldcat.org/oclc/278473","WorldCat Record")</f>
        <v>WorldCat Record</v>
      </c>
      <c r="AU144" s="3" t="s">
        <v>1958</v>
      </c>
      <c r="AV144" s="3" t="s">
        <v>1959</v>
      </c>
      <c r="AW144" s="3" t="s">
        <v>1960</v>
      </c>
      <c r="AX144" s="3" t="s">
        <v>1960</v>
      </c>
      <c r="AY144" s="3" t="s">
        <v>1961</v>
      </c>
      <c r="AZ144" s="3" t="s">
        <v>74</v>
      </c>
      <c r="BB144" s="3" t="s">
        <v>1962</v>
      </c>
      <c r="BC144" s="3" t="s">
        <v>1963</v>
      </c>
      <c r="BD144" s="3" t="s">
        <v>1964</v>
      </c>
    </row>
    <row r="145" spans="1:56" ht="40.5" customHeight="1" x14ac:dyDescent="0.25">
      <c r="A145" s="7" t="s">
        <v>58</v>
      </c>
      <c r="B145" s="2" t="s">
        <v>1965</v>
      </c>
      <c r="C145" s="2" t="s">
        <v>1966</v>
      </c>
      <c r="D145" s="2" t="s">
        <v>1967</v>
      </c>
      <c r="F145" s="3" t="s">
        <v>58</v>
      </c>
      <c r="G145" s="3" t="s">
        <v>59</v>
      </c>
      <c r="H145" s="3" t="s">
        <v>80</v>
      </c>
      <c r="I145" s="3" t="s">
        <v>58</v>
      </c>
      <c r="J145" s="3" t="s">
        <v>60</v>
      </c>
      <c r="K145" s="2" t="s">
        <v>1968</v>
      </c>
      <c r="L145" s="2" t="s">
        <v>1969</v>
      </c>
      <c r="M145" s="3" t="s">
        <v>405</v>
      </c>
      <c r="N145" s="2" t="s">
        <v>1970</v>
      </c>
      <c r="O145" s="3" t="s">
        <v>65</v>
      </c>
      <c r="P145" s="3" t="s">
        <v>169</v>
      </c>
      <c r="Q145" s="2" t="s">
        <v>1971</v>
      </c>
      <c r="R145" s="3" t="s">
        <v>1602</v>
      </c>
      <c r="S145" s="4">
        <v>2</v>
      </c>
      <c r="T145" s="4">
        <v>2</v>
      </c>
      <c r="U145" s="5" t="s">
        <v>1972</v>
      </c>
      <c r="V145" s="5" t="s">
        <v>1972</v>
      </c>
      <c r="W145" s="5" t="s">
        <v>1973</v>
      </c>
      <c r="X145" s="5" t="s">
        <v>1974</v>
      </c>
      <c r="Y145" s="4">
        <v>729</v>
      </c>
      <c r="Z145" s="4">
        <v>632</v>
      </c>
      <c r="AA145" s="4">
        <v>930</v>
      </c>
      <c r="AB145" s="4">
        <v>4</v>
      </c>
      <c r="AC145" s="4">
        <v>6</v>
      </c>
      <c r="AD145" s="4">
        <v>35</v>
      </c>
      <c r="AE145" s="4">
        <v>49</v>
      </c>
      <c r="AF145" s="4">
        <v>11</v>
      </c>
      <c r="AG145" s="4">
        <v>13</v>
      </c>
      <c r="AH145" s="4">
        <v>7</v>
      </c>
      <c r="AI145" s="4">
        <v>9</v>
      </c>
      <c r="AJ145" s="4">
        <v>18</v>
      </c>
      <c r="AK145" s="4">
        <v>23</v>
      </c>
      <c r="AL145" s="4">
        <v>2</v>
      </c>
      <c r="AM145" s="4">
        <v>4</v>
      </c>
      <c r="AN145" s="4">
        <v>8</v>
      </c>
      <c r="AO145" s="4">
        <v>12</v>
      </c>
      <c r="AP145" s="3" t="s">
        <v>58</v>
      </c>
      <c r="AQ145" s="3" t="s">
        <v>80</v>
      </c>
      <c r="AR145" s="6" t="str">
        <f>HYPERLINK("http://catalog.hathitrust.org/Record/000833970","HathiTrust Record")</f>
        <v>HathiTrust Record</v>
      </c>
      <c r="AS145" s="6" t="str">
        <f>HYPERLINK("https://creighton-primo.hosted.exlibrisgroup.com/primo-explore/search?tab=default_tab&amp;search_scope=EVERYTHING&amp;vid=01CRU&amp;lang=en_US&amp;offset=0&amp;query=any,contains,991001778809702656","Catalog Record")</f>
        <v>Catalog Record</v>
      </c>
      <c r="AT145" s="6" t="str">
        <f>HYPERLINK("http://www.worldcat.org/oclc/3089497","WorldCat Record")</f>
        <v>WorldCat Record</v>
      </c>
      <c r="AU145" s="3" t="s">
        <v>1975</v>
      </c>
      <c r="AV145" s="3" t="s">
        <v>1976</v>
      </c>
      <c r="AW145" s="3" t="s">
        <v>1977</v>
      </c>
      <c r="AX145" s="3" t="s">
        <v>1977</v>
      </c>
      <c r="AY145" s="3" t="s">
        <v>1978</v>
      </c>
      <c r="AZ145" s="3" t="s">
        <v>74</v>
      </c>
      <c r="BB145" s="3" t="s">
        <v>1979</v>
      </c>
      <c r="BC145" s="3" t="s">
        <v>1980</v>
      </c>
      <c r="BD145" s="3" t="s">
        <v>1981</v>
      </c>
    </row>
    <row r="146" spans="1:56" ht="40.5" customHeight="1" x14ac:dyDescent="0.25">
      <c r="A146" s="7" t="s">
        <v>58</v>
      </c>
      <c r="B146" s="2" t="s">
        <v>1982</v>
      </c>
      <c r="C146" s="2" t="s">
        <v>1983</v>
      </c>
      <c r="D146" s="2" t="s">
        <v>1984</v>
      </c>
      <c r="F146" s="3" t="s">
        <v>58</v>
      </c>
      <c r="G146" s="3" t="s">
        <v>59</v>
      </c>
      <c r="H146" s="3" t="s">
        <v>58</v>
      </c>
      <c r="I146" s="3" t="s">
        <v>58</v>
      </c>
      <c r="J146" s="3" t="s">
        <v>60</v>
      </c>
      <c r="K146" s="2" t="s">
        <v>1985</v>
      </c>
      <c r="L146" s="2" t="s">
        <v>1986</v>
      </c>
      <c r="M146" s="3" t="s">
        <v>1644</v>
      </c>
      <c r="O146" s="3" t="s">
        <v>65</v>
      </c>
      <c r="P146" s="3" t="s">
        <v>1480</v>
      </c>
      <c r="Q146" s="2" t="s">
        <v>1987</v>
      </c>
      <c r="R146" s="3" t="s">
        <v>1602</v>
      </c>
      <c r="S146" s="4">
        <v>1</v>
      </c>
      <c r="T146" s="4">
        <v>1</v>
      </c>
      <c r="U146" s="5" t="s">
        <v>1972</v>
      </c>
      <c r="V146" s="5" t="s">
        <v>1972</v>
      </c>
      <c r="W146" s="5" t="s">
        <v>1943</v>
      </c>
      <c r="X146" s="5" t="s">
        <v>1943</v>
      </c>
      <c r="Y146" s="4">
        <v>451</v>
      </c>
      <c r="Z146" s="4">
        <v>405</v>
      </c>
      <c r="AA146" s="4">
        <v>407</v>
      </c>
      <c r="AB146" s="4">
        <v>5</v>
      </c>
      <c r="AC146" s="4">
        <v>5</v>
      </c>
      <c r="AD146" s="4">
        <v>24</v>
      </c>
      <c r="AE146" s="4">
        <v>24</v>
      </c>
      <c r="AF146" s="4">
        <v>6</v>
      </c>
      <c r="AG146" s="4">
        <v>6</v>
      </c>
      <c r="AH146" s="4">
        <v>6</v>
      </c>
      <c r="AI146" s="4">
        <v>6</v>
      </c>
      <c r="AJ146" s="4">
        <v>11</v>
      </c>
      <c r="AK146" s="4">
        <v>11</v>
      </c>
      <c r="AL146" s="4">
        <v>4</v>
      </c>
      <c r="AM146" s="4">
        <v>4</v>
      </c>
      <c r="AN146" s="4">
        <v>2</v>
      </c>
      <c r="AO146" s="4">
        <v>2</v>
      </c>
      <c r="AP146" s="3" t="s">
        <v>58</v>
      </c>
      <c r="AQ146" s="3" t="s">
        <v>80</v>
      </c>
      <c r="AR146" s="6" t="str">
        <f>HYPERLINK("http://catalog.hathitrust.org/Record/000733893","HathiTrust Record")</f>
        <v>HathiTrust Record</v>
      </c>
      <c r="AS146" s="6" t="str">
        <f>HYPERLINK("https://creighton-primo.hosted.exlibrisgroup.com/primo-explore/search?tab=default_tab&amp;search_scope=EVERYTHING&amp;vid=01CRU&amp;lang=en_US&amp;offset=0&amp;query=any,contains,991004695249702656","Catalog Record")</f>
        <v>Catalog Record</v>
      </c>
      <c r="AT146" s="6" t="str">
        <f>HYPERLINK("http://www.worldcat.org/oclc/4638875","WorldCat Record")</f>
        <v>WorldCat Record</v>
      </c>
      <c r="AU146" s="3" t="s">
        <v>1988</v>
      </c>
      <c r="AV146" s="3" t="s">
        <v>1989</v>
      </c>
      <c r="AW146" s="3" t="s">
        <v>1990</v>
      </c>
      <c r="AX146" s="3" t="s">
        <v>1990</v>
      </c>
      <c r="AY146" s="3" t="s">
        <v>1991</v>
      </c>
      <c r="AZ146" s="3" t="s">
        <v>74</v>
      </c>
      <c r="BB146" s="3" t="s">
        <v>1992</v>
      </c>
      <c r="BC146" s="3" t="s">
        <v>1993</v>
      </c>
      <c r="BD146" s="3" t="s">
        <v>1994</v>
      </c>
    </row>
    <row r="147" spans="1:56" ht="40.5" customHeight="1" x14ac:dyDescent="0.25">
      <c r="A147" s="7" t="s">
        <v>58</v>
      </c>
      <c r="B147" s="2" t="s">
        <v>1995</v>
      </c>
      <c r="C147" s="2" t="s">
        <v>1996</v>
      </c>
      <c r="D147" s="2" t="s">
        <v>1997</v>
      </c>
      <c r="F147" s="3" t="s">
        <v>58</v>
      </c>
      <c r="G147" s="3" t="s">
        <v>59</v>
      </c>
      <c r="H147" s="3" t="s">
        <v>58</v>
      </c>
      <c r="I147" s="3" t="s">
        <v>58</v>
      </c>
      <c r="J147" s="3" t="s">
        <v>60</v>
      </c>
      <c r="K147" s="2" t="s">
        <v>1871</v>
      </c>
      <c r="L147" s="2" t="s">
        <v>1998</v>
      </c>
      <c r="M147" s="3" t="s">
        <v>1243</v>
      </c>
      <c r="O147" s="3" t="s">
        <v>65</v>
      </c>
      <c r="P147" s="3" t="s">
        <v>66</v>
      </c>
      <c r="R147" s="3" t="s">
        <v>1602</v>
      </c>
      <c r="S147" s="4">
        <v>1</v>
      </c>
      <c r="T147" s="4">
        <v>1</v>
      </c>
      <c r="U147" s="5" t="s">
        <v>1999</v>
      </c>
      <c r="V147" s="5" t="s">
        <v>1999</v>
      </c>
      <c r="W147" s="5" t="s">
        <v>1943</v>
      </c>
      <c r="X147" s="5" t="s">
        <v>1943</v>
      </c>
      <c r="Y147" s="4">
        <v>381</v>
      </c>
      <c r="Z147" s="4">
        <v>362</v>
      </c>
      <c r="AA147" s="4">
        <v>364</v>
      </c>
      <c r="AB147" s="4">
        <v>5</v>
      </c>
      <c r="AC147" s="4">
        <v>5</v>
      </c>
      <c r="AD147" s="4">
        <v>19</v>
      </c>
      <c r="AE147" s="4">
        <v>19</v>
      </c>
      <c r="AF147" s="4">
        <v>6</v>
      </c>
      <c r="AG147" s="4">
        <v>6</v>
      </c>
      <c r="AH147" s="4">
        <v>5</v>
      </c>
      <c r="AI147" s="4">
        <v>5</v>
      </c>
      <c r="AJ147" s="4">
        <v>10</v>
      </c>
      <c r="AK147" s="4">
        <v>10</v>
      </c>
      <c r="AL147" s="4">
        <v>4</v>
      </c>
      <c r="AM147" s="4">
        <v>4</v>
      </c>
      <c r="AN147" s="4">
        <v>0</v>
      </c>
      <c r="AO147" s="4">
        <v>0</v>
      </c>
      <c r="AP147" s="3" t="s">
        <v>58</v>
      </c>
      <c r="AQ147" s="3" t="s">
        <v>80</v>
      </c>
      <c r="AR147" s="6" t="str">
        <f>HYPERLINK("http://catalog.hathitrust.org/Record/000352098","HathiTrust Record")</f>
        <v>HathiTrust Record</v>
      </c>
      <c r="AS147" s="6" t="str">
        <f>HYPERLINK("https://creighton-primo.hosted.exlibrisgroup.com/primo-explore/search?tab=default_tab&amp;search_scope=EVERYTHING&amp;vid=01CRU&amp;lang=en_US&amp;offset=0&amp;query=any,contains,991000545229702656","Catalog Record")</f>
        <v>Catalog Record</v>
      </c>
      <c r="AT147" s="6" t="str">
        <f>HYPERLINK("http://www.worldcat.org/oclc/11517721","WorldCat Record")</f>
        <v>WorldCat Record</v>
      </c>
      <c r="AU147" s="3" t="s">
        <v>2000</v>
      </c>
      <c r="AV147" s="3" t="s">
        <v>2001</v>
      </c>
      <c r="AW147" s="3" t="s">
        <v>2002</v>
      </c>
      <c r="AX147" s="3" t="s">
        <v>2002</v>
      </c>
      <c r="AY147" s="3" t="s">
        <v>2003</v>
      </c>
      <c r="AZ147" s="3" t="s">
        <v>74</v>
      </c>
      <c r="BB147" s="3" t="s">
        <v>2004</v>
      </c>
      <c r="BC147" s="3" t="s">
        <v>2005</v>
      </c>
      <c r="BD147" s="3" t="s">
        <v>2006</v>
      </c>
    </row>
    <row r="148" spans="1:56" ht="40.5" customHeight="1" x14ac:dyDescent="0.25">
      <c r="A148" s="7" t="s">
        <v>58</v>
      </c>
      <c r="B148" s="2" t="s">
        <v>2007</v>
      </c>
      <c r="C148" s="2" t="s">
        <v>2008</v>
      </c>
      <c r="D148" s="2" t="s">
        <v>2009</v>
      </c>
      <c r="F148" s="3" t="s">
        <v>58</v>
      </c>
      <c r="G148" s="3" t="s">
        <v>59</v>
      </c>
      <c r="H148" s="3" t="s">
        <v>58</v>
      </c>
      <c r="I148" s="3" t="s">
        <v>58</v>
      </c>
      <c r="J148" s="3" t="s">
        <v>60</v>
      </c>
      <c r="K148" s="2" t="s">
        <v>1884</v>
      </c>
      <c r="L148" s="2" t="s">
        <v>2010</v>
      </c>
      <c r="M148" s="3" t="s">
        <v>1926</v>
      </c>
      <c r="O148" s="3" t="s">
        <v>65</v>
      </c>
      <c r="P148" s="3" t="s">
        <v>169</v>
      </c>
      <c r="R148" s="3" t="s">
        <v>1602</v>
      </c>
      <c r="S148" s="4">
        <v>3</v>
      </c>
      <c r="T148" s="4">
        <v>3</v>
      </c>
      <c r="U148" s="5" t="s">
        <v>2011</v>
      </c>
      <c r="V148" s="5" t="s">
        <v>2011</v>
      </c>
      <c r="W148" s="5" t="s">
        <v>1943</v>
      </c>
      <c r="X148" s="5" t="s">
        <v>1943</v>
      </c>
      <c r="Y148" s="4">
        <v>858</v>
      </c>
      <c r="Z148" s="4">
        <v>792</v>
      </c>
      <c r="AA148" s="4">
        <v>793</v>
      </c>
      <c r="AB148" s="4">
        <v>5</v>
      </c>
      <c r="AC148" s="4">
        <v>5</v>
      </c>
      <c r="AD148" s="4">
        <v>45</v>
      </c>
      <c r="AE148" s="4">
        <v>45</v>
      </c>
      <c r="AF148" s="4">
        <v>13</v>
      </c>
      <c r="AG148" s="4">
        <v>13</v>
      </c>
      <c r="AH148" s="4">
        <v>8</v>
      </c>
      <c r="AI148" s="4">
        <v>8</v>
      </c>
      <c r="AJ148" s="4">
        <v>21</v>
      </c>
      <c r="AK148" s="4">
        <v>21</v>
      </c>
      <c r="AL148" s="4">
        <v>4</v>
      </c>
      <c r="AM148" s="4">
        <v>4</v>
      </c>
      <c r="AN148" s="4">
        <v>11</v>
      </c>
      <c r="AO148" s="4">
        <v>11</v>
      </c>
      <c r="AP148" s="3" t="s">
        <v>58</v>
      </c>
      <c r="AQ148" s="3" t="s">
        <v>58</v>
      </c>
      <c r="AS148" s="6" t="str">
        <f>HYPERLINK("https://creighton-primo.hosted.exlibrisgroup.com/primo-explore/search?tab=default_tab&amp;search_scope=EVERYTHING&amp;vid=01CRU&amp;lang=en_US&amp;offset=0&amp;query=any,contains,991005057239702656","Catalog Record")</f>
        <v>Catalog Record</v>
      </c>
      <c r="AT148" s="6" t="str">
        <f>HYPERLINK("http://www.worldcat.org/oclc/6906716","WorldCat Record")</f>
        <v>WorldCat Record</v>
      </c>
      <c r="AU148" s="3" t="s">
        <v>2012</v>
      </c>
      <c r="AV148" s="3" t="s">
        <v>2013</v>
      </c>
      <c r="AW148" s="3" t="s">
        <v>2014</v>
      </c>
      <c r="AX148" s="3" t="s">
        <v>2014</v>
      </c>
      <c r="AY148" s="3" t="s">
        <v>2015</v>
      </c>
      <c r="AZ148" s="3" t="s">
        <v>74</v>
      </c>
      <c r="BB148" s="3" t="s">
        <v>2016</v>
      </c>
      <c r="BC148" s="3" t="s">
        <v>2017</v>
      </c>
      <c r="BD148" s="3" t="s">
        <v>2018</v>
      </c>
    </row>
    <row r="149" spans="1:56" ht="40.5" customHeight="1" x14ac:dyDescent="0.25">
      <c r="A149" s="7" t="s">
        <v>58</v>
      </c>
      <c r="B149" s="2" t="s">
        <v>2019</v>
      </c>
      <c r="C149" s="2" t="s">
        <v>2020</v>
      </c>
      <c r="D149" s="2" t="s">
        <v>2021</v>
      </c>
      <c r="F149" s="3" t="s">
        <v>58</v>
      </c>
      <c r="G149" s="3" t="s">
        <v>59</v>
      </c>
      <c r="H149" s="3" t="s">
        <v>58</v>
      </c>
      <c r="I149" s="3" t="s">
        <v>58</v>
      </c>
      <c r="J149" s="3" t="s">
        <v>60</v>
      </c>
      <c r="K149" s="2" t="s">
        <v>2022</v>
      </c>
      <c r="L149" s="2" t="s">
        <v>2023</v>
      </c>
      <c r="M149" s="3" t="s">
        <v>839</v>
      </c>
      <c r="O149" s="3" t="s">
        <v>65</v>
      </c>
      <c r="P149" s="3" t="s">
        <v>169</v>
      </c>
      <c r="Q149" s="2" t="s">
        <v>2024</v>
      </c>
      <c r="R149" s="3" t="s">
        <v>1602</v>
      </c>
      <c r="S149" s="4">
        <v>4</v>
      </c>
      <c r="T149" s="4">
        <v>4</v>
      </c>
      <c r="U149" s="5" t="s">
        <v>1753</v>
      </c>
      <c r="V149" s="5" t="s">
        <v>1753</v>
      </c>
      <c r="W149" s="5" t="s">
        <v>1619</v>
      </c>
      <c r="X149" s="5" t="s">
        <v>1619</v>
      </c>
      <c r="Y149" s="4">
        <v>951</v>
      </c>
      <c r="Z149" s="4">
        <v>790</v>
      </c>
      <c r="AA149" s="4">
        <v>800</v>
      </c>
      <c r="AB149" s="4">
        <v>6</v>
      </c>
      <c r="AC149" s="4">
        <v>6</v>
      </c>
      <c r="AD149" s="4">
        <v>36</v>
      </c>
      <c r="AE149" s="4">
        <v>36</v>
      </c>
      <c r="AF149" s="4">
        <v>12</v>
      </c>
      <c r="AG149" s="4">
        <v>12</v>
      </c>
      <c r="AH149" s="4">
        <v>6</v>
      </c>
      <c r="AI149" s="4">
        <v>6</v>
      </c>
      <c r="AJ149" s="4">
        <v>20</v>
      </c>
      <c r="AK149" s="4">
        <v>20</v>
      </c>
      <c r="AL149" s="4">
        <v>5</v>
      </c>
      <c r="AM149" s="4">
        <v>5</v>
      </c>
      <c r="AN149" s="4">
        <v>3</v>
      </c>
      <c r="AO149" s="4">
        <v>3</v>
      </c>
      <c r="AP149" s="3" t="s">
        <v>58</v>
      </c>
      <c r="AQ149" s="3" t="s">
        <v>80</v>
      </c>
      <c r="AR149" s="6" t="str">
        <f>HYPERLINK("http://catalog.hathitrust.org/Record/001340412","HathiTrust Record")</f>
        <v>HathiTrust Record</v>
      </c>
      <c r="AS149" s="6" t="str">
        <f>HYPERLINK("https://creighton-primo.hosted.exlibrisgroup.com/primo-explore/search?tab=default_tab&amp;search_scope=EVERYTHING&amp;vid=01CRU&amp;lang=en_US&amp;offset=0&amp;query=any,contains,991005438949702656","Catalog Record")</f>
        <v>Catalog Record</v>
      </c>
      <c r="AT149" s="6" t="str">
        <f>HYPERLINK("http://www.worldcat.org/oclc/6209","WorldCat Record")</f>
        <v>WorldCat Record</v>
      </c>
      <c r="AU149" s="3" t="s">
        <v>2025</v>
      </c>
      <c r="AV149" s="3" t="s">
        <v>2026</v>
      </c>
      <c r="AW149" s="3" t="s">
        <v>2027</v>
      </c>
      <c r="AX149" s="3" t="s">
        <v>2027</v>
      </c>
      <c r="AY149" s="3" t="s">
        <v>2028</v>
      </c>
      <c r="AZ149" s="3" t="s">
        <v>74</v>
      </c>
      <c r="BC149" s="3" t="s">
        <v>2029</v>
      </c>
      <c r="BD149" s="3" t="s">
        <v>2030</v>
      </c>
    </row>
    <row r="150" spans="1:56" ht="40.5" customHeight="1" x14ac:dyDescent="0.25">
      <c r="A150" s="7" t="s">
        <v>58</v>
      </c>
      <c r="B150" s="2" t="s">
        <v>2031</v>
      </c>
      <c r="C150" s="2" t="s">
        <v>2032</v>
      </c>
      <c r="D150" s="2" t="s">
        <v>2033</v>
      </c>
      <c r="F150" s="3" t="s">
        <v>58</v>
      </c>
      <c r="G150" s="3" t="s">
        <v>59</v>
      </c>
      <c r="H150" s="3" t="s">
        <v>80</v>
      </c>
      <c r="I150" s="3" t="s">
        <v>58</v>
      </c>
      <c r="J150" s="3" t="s">
        <v>60</v>
      </c>
      <c r="K150" s="2" t="s">
        <v>1684</v>
      </c>
      <c r="L150" s="2" t="s">
        <v>2034</v>
      </c>
      <c r="M150" s="3" t="s">
        <v>1926</v>
      </c>
      <c r="O150" s="3" t="s">
        <v>65</v>
      </c>
      <c r="P150" s="3" t="s">
        <v>2035</v>
      </c>
      <c r="R150" s="3" t="s">
        <v>1602</v>
      </c>
      <c r="S150" s="4">
        <v>4</v>
      </c>
      <c r="T150" s="4">
        <v>4</v>
      </c>
      <c r="U150" s="5" t="s">
        <v>2036</v>
      </c>
      <c r="V150" s="5" t="s">
        <v>2036</v>
      </c>
      <c r="W150" s="5" t="s">
        <v>2037</v>
      </c>
      <c r="X150" s="5" t="s">
        <v>2037</v>
      </c>
      <c r="Y150" s="4">
        <v>683</v>
      </c>
      <c r="Z150" s="4">
        <v>576</v>
      </c>
      <c r="AA150" s="4">
        <v>577</v>
      </c>
      <c r="AB150" s="4">
        <v>4</v>
      </c>
      <c r="AC150" s="4">
        <v>4</v>
      </c>
      <c r="AD150" s="4">
        <v>24</v>
      </c>
      <c r="AE150" s="4">
        <v>24</v>
      </c>
      <c r="AF150" s="4">
        <v>7</v>
      </c>
      <c r="AG150" s="4">
        <v>7</v>
      </c>
      <c r="AH150" s="4">
        <v>6</v>
      </c>
      <c r="AI150" s="4">
        <v>6</v>
      </c>
      <c r="AJ150" s="4">
        <v>10</v>
      </c>
      <c r="AK150" s="4">
        <v>10</v>
      </c>
      <c r="AL150" s="4">
        <v>2</v>
      </c>
      <c r="AM150" s="4">
        <v>2</v>
      </c>
      <c r="AN150" s="4">
        <v>3</v>
      </c>
      <c r="AO150" s="4">
        <v>3</v>
      </c>
      <c r="AP150" s="3" t="s">
        <v>58</v>
      </c>
      <c r="AQ150" s="3" t="s">
        <v>58</v>
      </c>
      <c r="AS150" s="6" t="str">
        <f>HYPERLINK("https://creighton-primo.hosted.exlibrisgroup.com/primo-explore/search?tab=default_tab&amp;search_scope=EVERYTHING&amp;vid=01CRU&amp;lang=en_US&amp;offset=0&amp;query=any,contains,991001617289702656","Catalog Record")</f>
        <v>Catalog Record</v>
      </c>
      <c r="AT150" s="6" t="str">
        <f>HYPERLINK("http://www.worldcat.org/oclc/6560400","WorldCat Record")</f>
        <v>WorldCat Record</v>
      </c>
      <c r="AU150" s="3" t="s">
        <v>2038</v>
      </c>
      <c r="AV150" s="3" t="s">
        <v>2039</v>
      </c>
      <c r="AW150" s="3" t="s">
        <v>2040</v>
      </c>
      <c r="AX150" s="3" t="s">
        <v>2040</v>
      </c>
      <c r="AY150" s="3" t="s">
        <v>2041</v>
      </c>
      <c r="AZ150" s="3" t="s">
        <v>74</v>
      </c>
      <c r="BB150" s="3" t="s">
        <v>2042</v>
      </c>
      <c r="BC150" s="3" t="s">
        <v>2043</v>
      </c>
      <c r="BD150" s="3" t="s">
        <v>2044</v>
      </c>
    </row>
    <row r="151" spans="1:56" ht="40.5" customHeight="1" x14ac:dyDescent="0.25">
      <c r="A151" s="7" t="s">
        <v>58</v>
      </c>
      <c r="B151" s="2" t="s">
        <v>2045</v>
      </c>
      <c r="C151" s="2" t="s">
        <v>2046</v>
      </c>
      <c r="D151" s="2" t="s">
        <v>2047</v>
      </c>
      <c r="F151" s="3" t="s">
        <v>58</v>
      </c>
      <c r="G151" s="3" t="s">
        <v>59</v>
      </c>
      <c r="H151" s="3" t="s">
        <v>80</v>
      </c>
      <c r="I151" s="3" t="s">
        <v>58</v>
      </c>
      <c r="J151" s="3" t="s">
        <v>60</v>
      </c>
      <c r="L151" s="2" t="s">
        <v>2048</v>
      </c>
      <c r="M151" s="3" t="s">
        <v>1926</v>
      </c>
      <c r="O151" s="3" t="s">
        <v>65</v>
      </c>
      <c r="P151" s="3" t="s">
        <v>169</v>
      </c>
      <c r="Q151" s="2" t="s">
        <v>2049</v>
      </c>
      <c r="R151" s="3" t="s">
        <v>1602</v>
      </c>
      <c r="S151" s="4">
        <v>2</v>
      </c>
      <c r="T151" s="4">
        <v>2</v>
      </c>
      <c r="U151" s="5" t="s">
        <v>1887</v>
      </c>
      <c r="V151" s="5" t="s">
        <v>1887</v>
      </c>
      <c r="W151" s="5" t="s">
        <v>1943</v>
      </c>
      <c r="X151" s="5" t="s">
        <v>2050</v>
      </c>
      <c r="Y151" s="4">
        <v>935</v>
      </c>
      <c r="Z151" s="4">
        <v>776</v>
      </c>
      <c r="AA151" s="4">
        <v>781</v>
      </c>
      <c r="AB151" s="4">
        <v>5</v>
      </c>
      <c r="AC151" s="4">
        <v>5</v>
      </c>
      <c r="AD151" s="4">
        <v>45</v>
      </c>
      <c r="AE151" s="4">
        <v>45</v>
      </c>
      <c r="AF151" s="4">
        <v>12</v>
      </c>
      <c r="AG151" s="4">
        <v>12</v>
      </c>
      <c r="AH151" s="4">
        <v>8</v>
      </c>
      <c r="AI151" s="4">
        <v>8</v>
      </c>
      <c r="AJ151" s="4">
        <v>19</v>
      </c>
      <c r="AK151" s="4">
        <v>19</v>
      </c>
      <c r="AL151" s="4">
        <v>3</v>
      </c>
      <c r="AM151" s="4">
        <v>3</v>
      </c>
      <c r="AN151" s="4">
        <v>14</v>
      </c>
      <c r="AO151" s="4">
        <v>14</v>
      </c>
      <c r="AP151" s="3" t="s">
        <v>58</v>
      </c>
      <c r="AQ151" s="3" t="s">
        <v>58</v>
      </c>
      <c r="AS151" s="6" t="str">
        <f>HYPERLINK("https://creighton-primo.hosted.exlibrisgroup.com/primo-explore/search?tab=default_tab&amp;search_scope=EVERYTHING&amp;vid=01CRU&amp;lang=en_US&amp;offset=0&amp;query=any,contains,991001813359702656","Catalog Record")</f>
        <v>Catalog Record</v>
      </c>
      <c r="AT151" s="6" t="str">
        <f>HYPERLINK("http://www.worldcat.org/oclc/6041004","WorldCat Record")</f>
        <v>WorldCat Record</v>
      </c>
      <c r="AU151" s="3" t="s">
        <v>2051</v>
      </c>
      <c r="AV151" s="3" t="s">
        <v>2052</v>
      </c>
      <c r="AW151" s="3" t="s">
        <v>2053</v>
      </c>
      <c r="AX151" s="3" t="s">
        <v>2053</v>
      </c>
      <c r="AY151" s="3" t="s">
        <v>2054</v>
      </c>
      <c r="AZ151" s="3" t="s">
        <v>74</v>
      </c>
      <c r="BB151" s="3" t="s">
        <v>2055</v>
      </c>
      <c r="BC151" s="3" t="s">
        <v>2056</v>
      </c>
      <c r="BD151" s="3" t="s">
        <v>2057</v>
      </c>
    </row>
    <row r="152" spans="1:56" ht="40.5" customHeight="1" x14ac:dyDescent="0.25">
      <c r="A152" s="7" t="s">
        <v>58</v>
      </c>
      <c r="B152" s="2" t="s">
        <v>2058</v>
      </c>
      <c r="C152" s="2" t="s">
        <v>2059</v>
      </c>
      <c r="D152" s="2" t="s">
        <v>2060</v>
      </c>
      <c r="F152" s="3" t="s">
        <v>58</v>
      </c>
      <c r="G152" s="3" t="s">
        <v>59</v>
      </c>
      <c r="H152" s="3" t="s">
        <v>58</v>
      </c>
      <c r="I152" s="3" t="s">
        <v>58</v>
      </c>
      <c r="J152" s="3" t="s">
        <v>60</v>
      </c>
      <c r="L152" s="2" t="s">
        <v>2061</v>
      </c>
      <c r="M152" s="3" t="s">
        <v>168</v>
      </c>
      <c r="O152" s="3" t="s">
        <v>65</v>
      </c>
      <c r="P152" s="3" t="s">
        <v>214</v>
      </c>
      <c r="Q152" s="2" t="s">
        <v>2062</v>
      </c>
      <c r="R152" s="3" t="s">
        <v>1602</v>
      </c>
      <c r="S152" s="4">
        <v>2</v>
      </c>
      <c r="T152" s="4">
        <v>2</v>
      </c>
      <c r="U152" s="5" t="s">
        <v>1887</v>
      </c>
      <c r="V152" s="5" t="s">
        <v>1887</v>
      </c>
      <c r="W152" s="5" t="s">
        <v>2063</v>
      </c>
      <c r="X152" s="5" t="s">
        <v>2063</v>
      </c>
      <c r="Y152" s="4">
        <v>572</v>
      </c>
      <c r="Z152" s="4">
        <v>471</v>
      </c>
      <c r="AA152" s="4">
        <v>650</v>
      </c>
      <c r="AB152" s="4">
        <v>2</v>
      </c>
      <c r="AC152" s="4">
        <v>6</v>
      </c>
      <c r="AD152" s="4">
        <v>21</v>
      </c>
      <c r="AE152" s="4">
        <v>29</v>
      </c>
      <c r="AF152" s="4">
        <v>4</v>
      </c>
      <c r="AG152" s="4">
        <v>7</v>
      </c>
      <c r="AH152" s="4">
        <v>4</v>
      </c>
      <c r="AI152" s="4">
        <v>7</v>
      </c>
      <c r="AJ152" s="4">
        <v>10</v>
      </c>
      <c r="AK152" s="4">
        <v>11</v>
      </c>
      <c r="AL152" s="4">
        <v>1</v>
      </c>
      <c r="AM152" s="4">
        <v>4</v>
      </c>
      <c r="AN152" s="4">
        <v>5</v>
      </c>
      <c r="AO152" s="4">
        <v>5</v>
      </c>
      <c r="AP152" s="3" t="s">
        <v>58</v>
      </c>
      <c r="AQ152" s="3" t="s">
        <v>58</v>
      </c>
      <c r="AS152" s="6" t="str">
        <f>HYPERLINK("https://creighton-primo.hosted.exlibrisgroup.com/primo-explore/search?tab=default_tab&amp;search_scope=EVERYTHING&amp;vid=01CRU&amp;lang=en_US&amp;offset=0&amp;query=any,contains,991000940739702656","Catalog Record")</f>
        <v>Catalog Record</v>
      </c>
      <c r="AT152" s="6" t="str">
        <f>HYPERLINK("http://www.worldcat.org/oclc/14411799","WorldCat Record")</f>
        <v>WorldCat Record</v>
      </c>
      <c r="AU152" s="3" t="s">
        <v>2064</v>
      </c>
      <c r="AV152" s="3" t="s">
        <v>2065</v>
      </c>
      <c r="AW152" s="3" t="s">
        <v>2066</v>
      </c>
      <c r="AX152" s="3" t="s">
        <v>2066</v>
      </c>
      <c r="AY152" s="3" t="s">
        <v>2067</v>
      </c>
      <c r="AZ152" s="3" t="s">
        <v>74</v>
      </c>
      <c r="BB152" s="3" t="s">
        <v>2068</v>
      </c>
      <c r="BC152" s="3" t="s">
        <v>2069</v>
      </c>
      <c r="BD152" s="3" t="s">
        <v>2070</v>
      </c>
    </row>
    <row r="153" spans="1:56" ht="40.5" customHeight="1" x14ac:dyDescent="0.25">
      <c r="A153" s="7" t="s">
        <v>58</v>
      </c>
      <c r="B153" s="2" t="s">
        <v>2071</v>
      </c>
      <c r="C153" s="2" t="s">
        <v>2072</v>
      </c>
      <c r="D153" s="2" t="s">
        <v>2073</v>
      </c>
      <c r="F153" s="3" t="s">
        <v>58</v>
      </c>
      <c r="G153" s="3" t="s">
        <v>59</v>
      </c>
      <c r="H153" s="3" t="s">
        <v>80</v>
      </c>
      <c r="I153" s="3" t="s">
        <v>58</v>
      </c>
      <c r="J153" s="3" t="s">
        <v>60</v>
      </c>
      <c r="K153" s="2" t="s">
        <v>2074</v>
      </c>
      <c r="L153" s="2" t="s">
        <v>2075</v>
      </c>
      <c r="M153" s="3" t="s">
        <v>1243</v>
      </c>
      <c r="O153" s="3" t="s">
        <v>65</v>
      </c>
      <c r="P153" s="3" t="s">
        <v>155</v>
      </c>
      <c r="R153" s="3" t="s">
        <v>1602</v>
      </c>
      <c r="S153" s="4">
        <v>0</v>
      </c>
      <c r="T153" s="4">
        <v>4</v>
      </c>
      <c r="V153" s="5" t="s">
        <v>2076</v>
      </c>
      <c r="W153" s="5" t="s">
        <v>2077</v>
      </c>
      <c r="X153" s="5" t="s">
        <v>2077</v>
      </c>
      <c r="Y153" s="4">
        <v>653</v>
      </c>
      <c r="Z153" s="4">
        <v>563</v>
      </c>
      <c r="AA153" s="4">
        <v>574</v>
      </c>
      <c r="AB153" s="4">
        <v>8</v>
      </c>
      <c r="AC153" s="4">
        <v>8</v>
      </c>
      <c r="AD153" s="4">
        <v>38</v>
      </c>
      <c r="AE153" s="4">
        <v>38</v>
      </c>
      <c r="AF153" s="4">
        <v>9</v>
      </c>
      <c r="AG153" s="4">
        <v>9</v>
      </c>
      <c r="AH153" s="4">
        <v>5</v>
      </c>
      <c r="AI153" s="4">
        <v>5</v>
      </c>
      <c r="AJ153" s="4">
        <v>12</v>
      </c>
      <c r="AK153" s="4">
        <v>12</v>
      </c>
      <c r="AL153" s="4">
        <v>5</v>
      </c>
      <c r="AM153" s="4">
        <v>5</v>
      </c>
      <c r="AN153" s="4">
        <v>13</v>
      </c>
      <c r="AO153" s="4">
        <v>13</v>
      </c>
      <c r="AP153" s="3" t="s">
        <v>58</v>
      </c>
      <c r="AQ153" s="3" t="s">
        <v>80</v>
      </c>
      <c r="AR153" s="6" t="str">
        <f>HYPERLINK("http://catalog.hathitrust.org/Record/000605044","HathiTrust Record")</f>
        <v>HathiTrust Record</v>
      </c>
      <c r="AS153" s="6" t="str">
        <f>HYPERLINK("https://creighton-primo.hosted.exlibrisgroup.com/primo-explore/search?tab=default_tab&amp;search_scope=EVERYTHING&amp;vid=01CRU&amp;lang=en_US&amp;offset=0&amp;query=any,contains,991001628649702656","Catalog Record")</f>
        <v>Catalog Record</v>
      </c>
      <c r="AT153" s="6" t="str">
        <f>HYPERLINK("http://www.worldcat.org/oclc/11113238","WorldCat Record")</f>
        <v>WorldCat Record</v>
      </c>
      <c r="AU153" s="3" t="s">
        <v>2078</v>
      </c>
      <c r="AV153" s="3" t="s">
        <v>2079</v>
      </c>
      <c r="AW153" s="3" t="s">
        <v>2080</v>
      </c>
      <c r="AX153" s="3" t="s">
        <v>2080</v>
      </c>
      <c r="AY153" s="3" t="s">
        <v>2081</v>
      </c>
      <c r="AZ153" s="3" t="s">
        <v>74</v>
      </c>
      <c r="BB153" s="3" t="s">
        <v>2082</v>
      </c>
      <c r="BC153" s="3" t="s">
        <v>2083</v>
      </c>
      <c r="BD153" s="3" t="s">
        <v>2084</v>
      </c>
    </row>
    <row r="154" spans="1:56" ht="40.5" customHeight="1" x14ac:dyDescent="0.25">
      <c r="A154" s="7" t="s">
        <v>58</v>
      </c>
      <c r="B154" s="2" t="s">
        <v>2085</v>
      </c>
      <c r="C154" s="2" t="s">
        <v>2086</v>
      </c>
      <c r="D154" s="2" t="s">
        <v>2087</v>
      </c>
      <c r="F154" s="3" t="s">
        <v>58</v>
      </c>
      <c r="G154" s="3" t="s">
        <v>59</v>
      </c>
      <c r="H154" s="3" t="s">
        <v>58</v>
      </c>
      <c r="I154" s="3" t="s">
        <v>58</v>
      </c>
      <c r="J154" s="3" t="s">
        <v>60</v>
      </c>
      <c r="K154" s="2" t="s">
        <v>2088</v>
      </c>
      <c r="L154" s="2" t="s">
        <v>2089</v>
      </c>
      <c r="M154" s="3" t="s">
        <v>559</v>
      </c>
      <c r="O154" s="3" t="s">
        <v>65</v>
      </c>
      <c r="P154" s="3" t="s">
        <v>155</v>
      </c>
      <c r="R154" s="3" t="s">
        <v>1602</v>
      </c>
      <c r="S154" s="4">
        <v>5</v>
      </c>
      <c r="T154" s="4">
        <v>5</v>
      </c>
      <c r="U154" s="5" t="s">
        <v>2090</v>
      </c>
      <c r="V154" s="5" t="s">
        <v>2090</v>
      </c>
      <c r="W154" s="5" t="s">
        <v>2091</v>
      </c>
      <c r="X154" s="5" t="s">
        <v>2091</v>
      </c>
      <c r="Y154" s="4">
        <v>855</v>
      </c>
      <c r="Z154" s="4">
        <v>781</v>
      </c>
      <c r="AA154" s="4">
        <v>829</v>
      </c>
      <c r="AB154" s="4">
        <v>3</v>
      </c>
      <c r="AC154" s="4">
        <v>3</v>
      </c>
      <c r="AD154" s="4">
        <v>34</v>
      </c>
      <c r="AE154" s="4">
        <v>35</v>
      </c>
      <c r="AF154" s="4">
        <v>10</v>
      </c>
      <c r="AG154" s="4">
        <v>11</v>
      </c>
      <c r="AH154" s="4">
        <v>6</v>
      </c>
      <c r="AI154" s="4">
        <v>6</v>
      </c>
      <c r="AJ154" s="4">
        <v>19</v>
      </c>
      <c r="AK154" s="4">
        <v>20</v>
      </c>
      <c r="AL154" s="4">
        <v>1</v>
      </c>
      <c r="AM154" s="4">
        <v>1</v>
      </c>
      <c r="AN154" s="4">
        <v>8</v>
      </c>
      <c r="AO154" s="4">
        <v>8</v>
      </c>
      <c r="AP154" s="3" t="s">
        <v>58</v>
      </c>
      <c r="AQ154" s="3" t="s">
        <v>58</v>
      </c>
      <c r="AS154" s="6" t="str">
        <f>HYPERLINK("https://creighton-primo.hosted.exlibrisgroup.com/primo-explore/search?tab=default_tab&amp;search_scope=EVERYTHING&amp;vid=01CRU&amp;lang=en_US&amp;offset=0&amp;query=any,contains,991001953169702656","Catalog Record")</f>
        <v>Catalog Record</v>
      </c>
      <c r="AT154" s="6" t="str">
        <f>HYPERLINK("http://www.worldcat.org/oclc/252807","WorldCat Record")</f>
        <v>WorldCat Record</v>
      </c>
      <c r="AU154" s="3" t="s">
        <v>2092</v>
      </c>
      <c r="AV154" s="3" t="s">
        <v>2093</v>
      </c>
      <c r="AW154" s="3" t="s">
        <v>2094</v>
      </c>
      <c r="AX154" s="3" t="s">
        <v>2094</v>
      </c>
      <c r="AY154" s="3" t="s">
        <v>2095</v>
      </c>
      <c r="AZ154" s="3" t="s">
        <v>74</v>
      </c>
      <c r="BC154" s="3" t="s">
        <v>2096</v>
      </c>
      <c r="BD154" s="3" t="s">
        <v>2097</v>
      </c>
    </row>
    <row r="155" spans="1:56" ht="40.5" customHeight="1" x14ac:dyDescent="0.25">
      <c r="A155" s="7" t="s">
        <v>58</v>
      </c>
      <c r="B155" s="2" t="s">
        <v>2098</v>
      </c>
      <c r="C155" s="2" t="s">
        <v>2099</v>
      </c>
      <c r="D155" s="2" t="s">
        <v>2100</v>
      </c>
      <c r="F155" s="3" t="s">
        <v>58</v>
      </c>
      <c r="G155" s="3" t="s">
        <v>59</v>
      </c>
      <c r="H155" s="3" t="s">
        <v>58</v>
      </c>
      <c r="I155" s="3" t="s">
        <v>58</v>
      </c>
      <c r="J155" s="3" t="s">
        <v>60</v>
      </c>
      <c r="K155" s="2" t="s">
        <v>2101</v>
      </c>
      <c r="L155" s="2" t="s">
        <v>2102</v>
      </c>
      <c r="M155" s="3" t="s">
        <v>676</v>
      </c>
      <c r="O155" s="3" t="s">
        <v>65</v>
      </c>
      <c r="P155" s="3" t="s">
        <v>275</v>
      </c>
      <c r="R155" s="3" t="s">
        <v>1602</v>
      </c>
      <c r="S155" s="4">
        <v>1</v>
      </c>
      <c r="T155" s="4">
        <v>1</v>
      </c>
      <c r="U155" s="5" t="s">
        <v>2103</v>
      </c>
      <c r="V155" s="5" t="s">
        <v>2103</v>
      </c>
      <c r="W155" s="5" t="s">
        <v>1943</v>
      </c>
      <c r="X155" s="5" t="s">
        <v>1943</v>
      </c>
      <c r="Y155" s="4">
        <v>448</v>
      </c>
      <c r="Z155" s="4">
        <v>308</v>
      </c>
      <c r="AA155" s="4">
        <v>313</v>
      </c>
      <c r="AB155" s="4">
        <v>2</v>
      </c>
      <c r="AC155" s="4">
        <v>2</v>
      </c>
      <c r="AD155" s="4">
        <v>20</v>
      </c>
      <c r="AE155" s="4">
        <v>20</v>
      </c>
      <c r="AF155" s="4">
        <v>3</v>
      </c>
      <c r="AG155" s="4">
        <v>3</v>
      </c>
      <c r="AH155" s="4">
        <v>3</v>
      </c>
      <c r="AI155" s="4">
        <v>3</v>
      </c>
      <c r="AJ155" s="4">
        <v>9</v>
      </c>
      <c r="AK155" s="4">
        <v>9</v>
      </c>
      <c r="AL155" s="4">
        <v>1</v>
      </c>
      <c r="AM155" s="4">
        <v>1</v>
      </c>
      <c r="AN155" s="4">
        <v>9</v>
      </c>
      <c r="AO155" s="4">
        <v>9</v>
      </c>
      <c r="AP155" s="3" t="s">
        <v>58</v>
      </c>
      <c r="AQ155" s="3" t="s">
        <v>58</v>
      </c>
      <c r="AS155" s="6" t="str">
        <f>HYPERLINK("https://creighton-primo.hosted.exlibrisgroup.com/primo-explore/search?tab=default_tab&amp;search_scope=EVERYTHING&amp;vid=01CRU&amp;lang=en_US&amp;offset=0&amp;query=any,contains,991005115509702656","Catalog Record")</f>
        <v>Catalog Record</v>
      </c>
      <c r="AT155" s="6" t="str">
        <f>HYPERLINK("http://www.worldcat.org/oclc/7462095","WorldCat Record")</f>
        <v>WorldCat Record</v>
      </c>
      <c r="AU155" s="3" t="s">
        <v>2104</v>
      </c>
      <c r="AV155" s="3" t="s">
        <v>2105</v>
      </c>
      <c r="AW155" s="3" t="s">
        <v>2106</v>
      </c>
      <c r="AX155" s="3" t="s">
        <v>2106</v>
      </c>
      <c r="AY155" s="3" t="s">
        <v>2107</v>
      </c>
      <c r="AZ155" s="3" t="s">
        <v>74</v>
      </c>
      <c r="BB155" s="3" t="s">
        <v>2108</v>
      </c>
      <c r="BC155" s="3" t="s">
        <v>2109</v>
      </c>
      <c r="BD155" s="3" t="s">
        <v>2110</v>
      </c>
    </row>
    <row r="156" spans="1:56" ht="40.5" customHeight="1" x14ac:dyDescent="0.25">
      <c r="A156" s="7" t="s">
        <v>58</v>
      </c>
      <c r="B156" s="2" t="s">
        <v>2111</v>
      </c>
      <c r="C156" s="2" t="s">
        <v>2112</v>
      </c>
      <c r="D156" s="2" t="s">
        <v>2113</v>
      </c>
      <c r="F156" s="3" t="s">
        <v>58</v>
      </c>
      <c r="G156" s="3" t="s">
        <v>59</v>
      </c>
      <c r="H156" s="3" t="s">
        <v>58</v>
      </c>
      <c r="I156" s="3" t="s">
        <v>58</v>
      </c>
      <c r="J156" s="3" t="s">
        <v>60</v>
      </c>
      <c r="K156" s="2" t="s">
        <v>2114</v>
      </c>
      <c r="L156" s="2" t="s">
        <v>2115</v>
      </c>
      <c r="M156" s="3" t="s">
        <v>2116</v>
      </c>
      <c r="O156" s="3" t="s">
        <v>65</v>
      </c>
      <c r="P156" s="3" t="s">
        <v>1523</v>
      </c>
      <c r="R156" s="3" t="s">
        <v>1602</v>
      </c>
      <c r="S156" s="4">
        <v>2</v>
      </c>
      <c r="T156" s="4">
        <v>2</v>
      </c>
      <c r="U156" s="5" t="s">
        <v>2117</v>
      </c>
      <c r="V156" s="5" t="s">
        <v>2117</v>
      </c>
      <c r="W156" s="5" t="s">
        <v>1619</v>
      </c>
      <c r="X156" s="5" t="s">
        <v>1619</v>
      </c>
      <c r="Y156" s="4">
        <v>236</v>
      </c>
      <c r="Z156" s="4">
        <v>201</v>
      </c>
      <c r="AA156" s="4">
        <v>334</v>
      </c>
      <c r="AB156" s="4">
        <v>2</v>
      </c>
      <c r="AC156" s="4">
        <v>3</v>
      </c>
      <c r="AD156" s="4">
        <v>11</v>
      </c>
      <c r="AE156" s="4">
        <v>19</v>
      </c>
      <c r="AF156" s="4">
        <v>3</v>
      </c>
      <c r="AG156" s="4">
        <v>5</v>
      </c>
      <c r="AH156" s="4">
        <v>4</v>
      </c>
      <c r="AI156" s="4">
        <v>5</v>
      </c>
      <c r="AJ156" s="4">
        <v>8</v>
      </c>
      <c r="AK156" s="4">
        <v>9</v>
      </c>
      <c r="AL156" s="4">
        <v>1</v>
      </c>
      <c r="AM156" s="4">
        <v>1</v>
      </c>
      <c r="AN156" s="4">
        <v>0</v>
      </c>
      <c r="AO156" s="4">
        <v>5</v>
      </c>
      <c r="AP156" s="3" t="s">
        <v>80</v>
      </c>
      <c r="AQ156" s="3" t="s">
        <v>58</v>
      </c>
      <c r="AR156" s="6" t="str">
        <f>HYPERLINK("http://catalog.hathitrust.org/Record/000959674","HathiTrust Record")</f>
        <v>HathiTrust Record</v>
      </c>
      <c r="AS156" s="6" t="str">
        <f>HYPERLINK("https://creighton-primo.hosted.exlibrisgroup.com/primo-explore/search?tab=default_tab&amp;search_scope=EVERYTHING&amp;vid=01CRU&amp;lang=en_US&amp;offset=0&amp;query=any,contains,991003966069702656","Catalog Record")</f>
        <v>Catalog Record</v>
      </c>
      <c r="AT156" s="6" t="str">
        <f>HYPERLINK("http://www.worldcat.org/oclc/1984675","WorldCat Record")</f>
        <v>WorldCat Record</v>
      </c>
      <c r="AU156" s="3" t="s">
        <v>2118</v>
      </c>
      <c r="AV156" s="3" t="s">
        <v>2119</v>
      </c>
      <c r="AW156" s="3" t="s">
        <v>2120</v>
      </c>
      <c r="AX156" s="3" t="s">
        <v>2120</v>
      </c>
      <c r="AY156" s="3" t="s">
        <v>2121</v>
      </c>
      <c r="AZ156" s="3" t="s">
        <v>74</v>
      </c>
      <c r="BC156" s="3" t="s">
        <v>2122</v>
      </c>
      <c r="BD156" s="3" t="s">
        <v>2123</v>
      </c>
    </row>
    <row r="157" spans="1:56" ht="40.5" customHeight="1" x14ac:dyDescent="0.25">
      <c r="A157" s="7" t="s">
        <v>58</v>
      </c>
      <c r="B157" s="2" t="s">
        <v>2124</v>
      </c>
      <c r="C157" s="2" t="s">
        <v>2125</v>
      </c>
      <c r="D157" s="2" t="s">
        <v>2126</v>
      </c>
      <c r="F157" s="3" t="s">
        <v>58</v>
      </c>
      <c r="G157" s="3" t="s">
        <v>59</v>
      </c>
      <c r="H157" s="3" t="s">
        <v>80</v>
      </c>
      <c r="I157" s="3" t="s">
        <v>58</v>
      </c>
      <c r="J157" s="3" t="s">
        <v>60</v>
      </c>
      <c r="K157" s="2" t="s">
        <v>2127</v>
      </c>
      <c r="L157" s="2" t="s">
        <v>1155</v>
      </c>
      <c r="M157" s="3" t="s">
        <v>1156</v>
      </c>
      <c r="O157" s="3" t="s">
        <v>65</v>
      </c>
      <c r="P157" s="3" t="s">
        <v>169</v>
      </c>
      <c r="R157" s="3" t="s">
        <v>1602</v>
      </c>
      <c r="S157" s="4">
        <v>1</v>
      </c>
      <c r="T157" s="4">
        <v>2</v>
      </c>
      <c r="U157" s="5" t="s">
        <v>2128</v>
      </c>
      <c r="V157" s="5" t="s">
        <v>2129</v>
      </c>
      <c r="W157" s="5" t="s">
        <v>2130</v>
      </c>
      <c r="X157" s="5" t="s">
        <v>2131</v>
      </c>
      <c r="Y157" s="4">
        <v>760</v>
      </c>
      <c r="Z157" s="4">
        <v>679</v>
      </c>
      <c r="AA157" s="4">
        <v>684</v>
      </c>
      <c r="AB157" s="4">
        <v>5</v>
      </c>
      <c r="AC157" s="4">
        <v>5</v>
      </c>
      <c r="AD157" s="4">
        <v>34</v>
      </c>
      <c r="AE157" s="4">
        <v>34</v>
      </c>
      <c r="AF157" s="4">
        <v>8</v>
      </c>
      <c r="AG157" s="4">
        <v>8</v>
      </c>
      <c r="AH157" s="4">
        <v>7</v>
      </c>
      <c r="AI157" s="4">
        <v>7</v>
      </c>
      <c r="AJ157" s="4">
        <v>15</v>
      </c>
      <c r="AK157" s="4">
        <v>15</v>
      </c>
      <c r="AL157" s="4">
        <v>3</v>
      </c>
      <c r="AM157" s="4">
        <v>3</v>
      </c>
      <c r="AN157" s="4">
        <v>8</v>
      </c>
      <c r="AO157" s="4">
        <v>8</v>
      </c>
      <c r="AP157" s="3" t="s">
        <v>58</v>
      </c>
      <c r="AQ157" s="3" t="s">
        <v>58</v>
      </c>
      <c r="AS157" s="6" t="str">
        <f>HYPERLINK("https://creighton-primo.hosted.exlibrisgroup.com/primo-explore/search?tab=default_tab&amp;search_scope=EVERYTHING&amp;vid=01CRU&amp;lang=en_US&amp;offset=0&amp;query=any,contains,991001656709702656","Catalog Record")</f>
        <v>Catalog Record</v>
      </c>
      <c r="AT157" s="6" t="str">
        <f>HYPERLINK("http://www.worldcat.org/oclc/27223661","WorldCat Record")</f>
        <v>WorldCat Record</v>
      </c>
      <c r="AU157" s="3" t="s">
        <v>2132</v>
      </c>
      <c r="AV157" s="3" t="s">
        <v>2133</v>
      </c>
      <c r="AW157" s="3" t="s">
        <v>2134</v>
      </c>
      <c r="AX157" s="3" t="s">
        <v>2134</v>
      </c>
      <c r="AY157" s="3" t="s">
        <v>2135</v>
      </c>
      <c r="AZ157" s="3" t="s">
        <v>74</v>
      </c>
      <c r="BB157" s="3" t="s">
        <v>2136</v>
      </c>
      <c r="BC157" s="3" t="s">
        <v>2137</v>
      </c>
      <c r="BD157" s="3" t="s">
        <v>2138</v>
      </c>
    </row>
    <row r="158" spans="1:56" ht="40.5" customHeight="1" x14ac:dyDescent="0.25">
      <c r="A158" s="7" t="s">
        <v>58</v>
      </c>
      <c r="B158" s="2" t="s">
        <v>2139</v>
      </c>
      <c r="C158" s="2" t="s">
        <v>2140</v>
      </c>
      <c r="D158" s="2" t="s">
        <v>2141</v>
      </c>
      <c r="F158" s="3" t="s">
        <v>58</v>
      </c>
      <c r="G158" s="3" t="s">
        <v>59</v>
      </c>
      <c r="H158" s="3" t="s">
        <v>58</v>
      </c>
      <c r="I158" s="3" t="s">
        <v>58</v>
      </c>
      <c r="J158" s="3" t="s">
        <v>60</v>
      </c>
      <c r="K158" s="2" t="s">
        <v>2142</v>
      </c>
      <c r="L158" s="2" t="s">
        <v>1242</v>
      </c>
      <c r="M158" s="3" t="s">
        <v>1243</v>
      </c>
      <c r="O158" s="3" t="s">
        <v>65</v>
      </c>
      <c r="P158" s="3" t="s">
        <v>169</v>
      </c>
      <c r="Q158" s="2" t="s">
        <v>2049</v>
      </c>
      <c r="R158" s="3" t="s">
        <v>1602</v>
      </c>
      <c r="S158" s="4">
        <v>8</v>
      </c>
      <c r="T158" s="4">
        <v>8</v>
      </c>
      <c r="U158" s="5" t="s">
        <v>2143</v>
      </c>
      <c r="V158" s="5" t="s">
        <v>2143</v>
      </c>
      <c r="W158" s="5" t="s">
        <v>1943</v>
      </c>
      <c r="X158" s="5" t="s">
        <v>1943</v>
      </c>
      <c r="Y158" s="4">
        <v>1061</v>
      </c>
      <c r="Z158" s="4">
        <v>967</v>
      </c>
      <c r="AA158" s="4">
        <v>972</v>
      </c>
      <c r="AB158" s="4">
        <v>9</v>
      </c>
      <c r="AC158" s="4">
        <v>9</v>
      </c>
      <c r="AD158" s="4">
        <v>47</v>
      </c>
      <c r="AE158" s="4">
        <v>47</v>
      </c>
      <c r="AF158" s="4">
        <v>13</v>
      </c>
      <c r="AG158" s="4">
        <v>13</v>
      </c>
      <c r="AH158" s="4">
        <v>8</v>
      </c>
      <c r="AI158" s="4">
        <v>8</v>
      </c>
      <c r="AJ158" s="4">
        <v>19</v>
      </c>
      <c r="AK158" s="4">
        <v>19</v>
      </c>
      <c r="AL158" s="4">
        <v>7</v>
      </c>
      <c r="AM158" s="4">
        <v>7</v>
      </c>
      <c r="AN158" s="4">
        <v>10</v>
      </c>
      <c r="AO158" s="4">
        <v>10</v>
      </c>
      <c r="AP158" s="3" t="s">
        <v>58</v>
      </c>
      <c r="AQ158" s="3" t="s">
        <v>58</v>
      </c>
      <c r="AS158" s="6" t="str">
        <f>HYPERLINK("https://creighton-primo.hosted.exlibrisgroup.com/primo-explore/search?tab=default_tab&amp;search_scope=EVERYTHING&amp;vid=01CRU&amp;lang=en_US&amp;offset=0&amp;query=any,contains,991000541839702656","Catalog Record")</f>
        <v>Catalog Record</v>
      </c>
      <c r="AT158" s="6" t="str">
        <f>HYPERLINK("http://www.worldcat.org/oclc/11495905","WorldCat Record")</f>
        <v>WorldCat Record</v>
      </c>
      <c r="AU158" s="3" t="s">
        <v>2144</v>
      </c>
      <c r="AV158" s="3" t="s">
        <v>2145</v>
      </c>
      <c r="AW158" s="3" t="s">
        <v>2146</v>
      </c>
      <c r="AX158" s="3" t="s">
        <v>2146</v>
      </c>
      <c r="AY158" s="3" t="s">
        <v>2147</v>
      </c>
      <c r="AZ158" s="3" t="s">
        <v>74</v>
      </c>
      <c r="BB158" s="3" t="s">
        <v>2148</v>
      </c>
      <c r="BC158" s="3" t="s">
        <v>2149</v>
      </c>
      <c r="BD158" s="3" t="s">
        <v>2150</v>
      </c>
    </row>
    <row r="159" spans="1:56" ht="40.5" customHeight="1" x14ac:dyDescent="0.25">
      <c r="A159" s="7" t="s">
        <v>58</v>
      </c>
      <c r="B159" s="2" t="s">
        <v>2151</v>
      </c>
      <c r="C159" s="2" t="s">
        <v>2152</v>
      </c>
      <c r="D159" s="2" t="s">
        <v>2153</v>
      </c>
      <c r="F159" s="3" t="s">
        <v>58</v>
      </c>
      <c r="G159" s="3" t="s">
        <v>59</v>
      </c>
      <c r="H159" s="3" t="s">
        <v>58</v>
      </c>
      <c r="I159" s="3" t="s">
        <v>58</v>
      </c>
      <c r="J159" s="3" t="s">
        <v>60</v>
      </c>
      <c r="K159" s="2" t="s">
        <v>2154</v>
      </c>
      <c r="L159" s="2" t="s">
        <v>2155</v>
      </c>
      <c r="M159" s="3" t="s">
        <v>2156</v>
      </c>
      <c r="O159" s="3" t="s">
        <v>65</v>
      </c>
      <c r="P159" s="3" t="s">
        <v>155</v>
      </c>
      <c r="R159" s="3" t="s">
        <v>1602</v>
      </c>
      <c r="S159" s="4">
        <v>1</v>
      </c>
      <c r="T159" s="4">
        <v>1</v>
      </c>
      <c r="U159" s="5" t="s">
        <v>2157</v>
      </c>
      <c r="V159" s="5" t="s">
        <v>2157</v>
      </c>
      <c r="W159" s="5" t="s">
        <v>1943</v>
      </c>
      <c r="X159" s="5" t="s">
        <v>1943</v>
      </c>
      <c r="Y159" s="4">
        <v>808</v>
      </c>
      <c r="Z159" s="4">
        <v>708</v>
      </c>
      <c r="AA159" s="4">
        <v>717</v>
      </c>
      <c r="AB159" s="4">
        <v>4</v>
      </c>
      <c r="AC159" s="4">
        <v>4</v>
      </c>
      <c r="AD159" s="4">
        <v>31</v>
      </c>
      <c r="AE159" s="4">
        <v>31</v>
      </c>
      <c r="AF159" s="4">
        <v>10</v>
      </c>
      <c r="AG159" s="4">
        <v>10</v>
      </c>
      <c r="AH159" s="4">
        <v>7</v>
      </c>
      <c r="AI159" s="4">
        <v>7</v>
      </c>
      <c r="AJ159" s="4">
        <v>15</v>
      </c>
      <c r="AK159" s="4">
        <v>15</v>
      </c>
      <c r="AL159" s="4">
        <v>3</v>
      </c>
      <c r="AM159" s="4">
        <v>3</v>
      </c>
      <c r="AN159" s="4">
        <v>2</v>
      </c>
      <c r="AO159" s="4">
        <v>2</v>
      </c>
      <c r="AP159" s="3" t="s">
        <v>58</v>
      </c>
      <c r="AQ159" s="3" t="s">
        <v>58</v>
      </c>
      <c r="AS159" s="6" t="str">
        <f>HYPERLINK("https://creighton-primo.hosted.exlibrisgroup.com/primo-explore/search?tab=default_tab&amp;search_scope=EVERYTHING&amp;vid=01CRU&amp;lang=en_US&amp;offset=0&amp;query=any,contains,991005155049702656","Catalog Record")</f>
        <v>Catalog Record</v>
      </c>
      <c r="AT159" s="6" t="str">
        <f>HYPERLINK("http://www.worldcat.org/oclc/7738443","WorldCat Record")</f>
        <v>WorldCat Record</v>
      </c>
      <c r="AU159" s="3" t="s">
        <v>2158</v>
      </c>
      <c r="AV159" s="3" t="s">
        <v>2159</v>
      </c>
      <c r="AW159" s="3" t="s">
        <v>2160</v>
      </c>
      <c r="AX159" s="3" t="s">
        <v>2160</v>
      </c>
      <c r="AY159" s="3" t="s">
        <v>2161</v>
      </c>
      <c r="AZ159" s="3" t="s">
        <v>74</v>
      </c>
      <c r="BB159" s="3" t="s">
        <v>2162</v>
      </c>
      <c r="BC159" s="3" t="s">
        <v>2163</v>
      </c>
      <c r="BD159" s="3" t="s">
        <v>2164</v>
      </c>
    </row>
    <row r="160" spans="1:56" ht="40.5" customHeight="1" x14ac:dyDescent="0.25">
      <c r="A160" s="7" t="s">
        <v>58</v>
      </c>
      <c r="B160" s="2" t="s">
        <v>2165</v>
      </c>
      <c r="C160" s="2" t="s">
        <v>2166</v>
      </c>
      <c r="D160" s="2" t="s">
        <v>2167</v>
      </c>
      <c r="F160" s="3" t="s">
        <v>58</v>
      </c>
      <c r="G160" s="3" t="s">
        <v>59</v>
      </c>
      <c r="H160" s="3" t="s">
        <v>58</v>
      </c>
      <c r="I160" s="3" t="s">
        <v>58</v>
      </c>
      <c r="J160" s="3" t="s">
        <v>60</v>
      </c>
      <c r="K160" s="2" t="s">
        <v>2168</v>
      </c>
      <c r="L160" s="2" t="s">
        <v>2169</v>
      </c>
      <c r="M160" s="3" t="s">
        <v>228</v>
      </c>
      <c r="O160" s="3" t="s">
        <v>65</v>
      </c>
      <c r="P160" s="3" t="s">
        <v>155</v>
      </c>
      <c r="R160" s="3" t="s">
        <v>1602</v>
      </c>
      <c r="S160" s="4">
        <v>1</v>
      </c>
      <c r="T160" s="4">
        <v>1</v>
      </c>
      <c r="U160" s="5" t="s">
        <v>2157</v>
      </c>
      <c r="V160" s="5" t="s">
        <v>2157</v>
      </c>
      <c r="W160" s="5" t="s">
        <v>2170</v>
      </c>
      <c r="X160" s="5" t="s">
        <v>2170</v>
      </c>
      <c r="Y160" s="4">
        <v>616</v>
      </c>
      <c r="Z160" s="4">
        <v>451</v>
      </c>
      <c r="AA160" s="4">
        <v>456</v>
      </c>
      <c r="AB160" s="4">
        <v>4</v>
      </c>
      <c r="AC160" s="4">
        <v>4</v>
      </c>
      <c r="AD160" s="4">
        <v>35</v>
      </c>
      <c r="AE160" s="4">
        <v>35</v>
      </c>
      <c r="AF160" s="4">
        <v>13</v>
      </c>
      <c r="AG160" s="4">
        <v>13</v>
      </c>
      <c r="AH160" s="4">
        <v>8</v>
      </c>
      <c r="AI160" s="4">
        <v>8</v>
      </c>
      <c r="AJ160" s="4">
        <v>15</v>
      </c>
      <c r="AK160" s="4">
        <v>15</v>
      </c>
      <c r="AL160" s="4">
        <v>3</v>
      </c>
      <c r="AM160" s="4">
        <v>3</v>
      </c>
      <c r="AN160" s="4">
        <v>6</v>
      </c>
      <c r="AO160" s="4">
        <v>6</v>
      </c>
      <c r="AP160" s="3" t="s">
        <v>58</v>
      </c>
      <c r="AQ160" s="3" t="s">
        <v>58</v>
      </c>
      <c r="AS160" s="6" t="str">
        <f>HYPERLINK("https://creighton-primo.hosted.exlibrisgroup.com/primo-explore/search?tab=default_tab&amp;search_scope=EVERYTHING&amp;vid=01CRU&amp;lang=en_US&amp;offset=0&amp;query=any,contains,991001541999702656","Catalog Record")</f>
        <v>Catalog Record</v>
      </c>
      <c r="AT160" s="6" t="str">
        <f>HYPERLINK("http://www.worldcat.org/oclc/20131723","WorldCat Record")</f>
        <v>WorldCat Record</v>
      </c>
      <c r="AU160" s="3" t="s">
        <v>2171</v>
      </c>
      <c r="AV160" s="3" t="s">
        <v>2172</v>
      </c>
      <c r="AW160" s="3" t="s">
        <v>2173</v>
      </c>
      <c r="AX160" s="3" t="s">
        <v>2173</v>
      </c>
      <c r="AY160" s="3" t="s">
        <v>2174</v>
      </c>
      <c r="AZ160" s="3" t="s">
        <v>74</v>
      </c>
      <c r="BB160" s="3" t="s">
        <v>2175</v>
      </c>
      <c r="BC160" s="3" t="s">
        <v>2176</v>
      </c>
      <c r="BD160" s="3" t="s">
        <v>2177</v>
      </c>
    </row>
    <row r="161" spans="1:56" ht="40.5" customHeight="1" x14ac:dyDescent="0.25">
      <c r="A161" s="7" t="s">
        <v>58</v>
      </c>
      <c r="B161" s="2" t="s">
        <v>2178</v>
      </c>
      <c r="C161" s="2" t="s">
        <v>2179</v>
      </c>
      <c r="D161" s="2" t="s">
        <v>2180</v>
      </c>
      <c r="F161" s="3" t="s">
        <v>58</v>
      </c>
      <c r="G161" s="3" t="s">
        <v>59</v>
      </c>
      <c r="H161" s="3" t="s">
        <v>58</v>
      </c>
      <c r="I161" s="3" t="s">
        <v>58</v>
      </c>
      <c r="J161" s="3" t="s">
        <v>60</v>
      </c>
      <c r="L161" s="2" t="s">
        <v>2181</v>
      </c>
      <c r="M161" s="3" t="s">
        <v>1114</v>
      </c>
      <c r="O161" s="3" t="s">
        <v>65</v>
      </c>
      <c r="P161" s="3" t="s">
        <v>198</v>
      </c>
      <c r="R161" s="3" t="s">
        <v>1602</v>
      </c>
      <c r="S161" s="4">
        <v>3</v>
      </c>
      <c r="T161" s="4">
        <v>3</v>
      </c>
      <c r="U161" s="5" t="s">
        <v>2182</v>
      </c>
      <c r="V161" s="5" t="s">
        <v>2182</v>
      </c>
      <c r="W161" s="5" t="s">
        <v>2183</v>
      </c>
      <c r="X161" s="5" t="s">
        <v>2183</v>
      </c>
      <c r="Y161" s="4">
        <v>109</v>
      </c>
      <c r="Z161" s="4">
        <v>102</v>
      </c>
      <c r="AA161" s="4">
        <v>102</v>
      </c>
      <c r="AB161" s="4">
        <v>2</v>
      </c>
      <c r="AC161" s="4">
        <v>2</v>
      </c>
      <c r="AD161" s="4">
        <v>6</v>
      </c>
      <c r="AE161" s="4">
        <v>6</v>
      </c>
      <c r="AF161" s="4">
        <v>0</v>
      </c>
      <c r="AG161" s="4">
        <v>0</v>
      </c>
      <c r="AH161" s="4">
        <v>2</v>
      </c>
      <c r="AI161" s="4">
        <v>2</v>
      </c>
      <c r="AJ161" s="4">
        <v>3</v>
      </c>
      <c r="AK161" s="4">
        <v>3</v>
      </c>
      <c r="AL161" s="4">
        <v>0</v>
      </c>
      <c r="AM161" s="4">
        <v>0</v>
      </c>
      <c r="AN161" s="4">
        <v>2</v>
      </c>
      <c r="AO161" s="4">
        <v>2</v>
      </c>
      <c r="AP161" s="3" t="s">
        <v>58</v>
      </c>
      <c r="AQ161" s="3" t="s">
        <v>58</v>
      </c>
      <c r="AS161" s="6" t="str">
        <f>HYPERLINK("https://creighton-primo.hosted.exlibrisgroup.com/primo-explore/search?tab=default_tab&amp;search_scope=EVERYTHING&amp;vid=01CRU&amp;lang=en_US&amp;offset=0&amp;query=any,contains,991002107169702656","Catalog Record")</f>
        <v>Catalog Record</v>
      </c>
      <c r="AT161" s="6" t="str">
        <f>HYPERLINK("http://www.worldcat.org/oclc/27018975","WorldCat Record")</f>
        <v>WorldCat Record</v>
      </c>
      <c r="AU161" s="3" t="s">
        <v>2184</v>
      </c>
      <c r="AV161" s="3" t="s">
        <v>2185</v>
      </c>
      <c r="AW161" s="3" t="s">
        <v>2186</v>
      </c>
      <c r="AX161" s="3" t="s">
        <v>2186</v>
      </c>
      <c r="AY161" s="3" t="s">
        <v>2187</v>
      </c>
      <c r="AZ161" s="3" t="s">
        <v>74</v>
      </c>
      <c r="BB161" s="3" t="s">
        <v>2188</v>
      </c>
      <c r="BC161" s="3" t="s">
        <v>2189</v>
      </c>
      <c r="BD161" s="3" t="s">
        <v>2190</v>
      </c>
    </row>
    <row r="162" spans="1:56" ht="40.5" customHeight="1" x14ac:dyDescent="0.25">
      <c r="A162" s="7" t="s">
        <v>58</v>
      </c>
      <c r="B162" s="2" t="s">
        <v>2191</v>
      </c>
      <c r="C162" s="2" t="s">
        <v>2192</v>
      </c>
      <c r="D162" s="2" t="s">
        <v>2193</v>
      </c>
      <c r="F162" s="3" t="s">
        <v>58</v>
      </c>
      <c r="G162" s="3" t="s">
        <v>59</v>
      </c>
      <c r="H162" s="3" t="s">
        <v>58</v>
      </c>
      <c r="I162" s="3" t="s">
        <v>58</v>
      </c>
      <c r="J162" s="3" t="s">
        <v>60</v>
      </c>
      <c r="L162" s="2" t="s">
        <v>2194</v>
      </c>
      <c r="M162" s="3" t="s">
        <v>243</v>
      </c>
      <c r="O162" s="3" t="s">
        <v>65</v>
      </c>
      <c r="P162" s="3" t="s">
        <v>198</v>
      </c>
      <c r="R162" s="3" t="s">
        <v>1602</v>
      </c>
      <c r="S162" s="4">
        <v>3</v>
      </c>
      <c r="T162" s="4">
        <v>3</v>
      </c>
      <c r="U162" s="5" t="s">
        <v>2182</v>
      </c>
      <c r="V162" s="5" t="s">
        <v>2182</v>
      </c>
      <c r="W162" s="5" t="s">
        <v>2195</v>
      </c>
      <c r="X162" s="5" t="s">
        <v>2195</v>
      </c>
      <c r="Y162" s="4">
        <v>115</v>
      </c>
      <c r="Z162" s="4">
        <v>100</v>
      </c>
      <c r="AA162" s="4">
        <v>101</v>
      </c>
      <c r="AB162" s="4">
        <v>2</v>
      </c>
      <c r="AC162" s="4">
        <v>2</v>
      </c>
      <c r="AD162" s="4">
        <v>6</v>
      </c>
      <c r="AE162" s="4">
        <v>6</v>
      </c>
      <c r="AF162" s="4">
        <v>0</v>
      </c>
      <c r="AG162" s="4">
        <v>0</v>
      </c>
      <c r="AH162" s="4">
        <v>2</v>
      </c>
      <c r="AI162" s="4">
        <v>2</v>
      </c>
      <c r="AJ162" s="4">
        <v>4</v>
      </c>
      <c r="AK162" s="4">
        <v>4</v>
      </c>
      <c r="AL162" s="4">
        <v>0</v>
      </c>
      <c r="AM162" s="4">
        <v>0</v>
      </c>
      <c r="AN162" s="4">
        <v>1</v>
      </c>
      <c r="AO162" s="4">
        <v>1</v>
      </c>
      <c r="AP162" s="3" t="s">
        <v>58</v>
      </c>
      <c r="AQ162" s="3" t="s">
        <v>80</v>
      </c>
      <c r="AR162" s="6" t="str">
        <f>HYPERLINK("http://catalog.hathitrust.org/Record/007988997","HathiTrust Record")</f>
        <v>HathiTrust Record</v>
      </c>
      <c r="AS162" s="6" t="str">
        <f>HYPERLINK("https://creighton-primo.hosted.exlibrisgroup.com/primo-explore/search?tab=default_tab&amp;search_scope=EVERYTHING&amp;vid=01CRU&amp;lang=en_US&amp;offset=0&amp;query=any,contains,991002010039702656","Catalog Record")</f>
        <v>Catalog Record</v>
      </c>
      <c r="AT162" s="6" t="str">
        <f>HYPERLINK("http://www.worldcat.org/oclc/25549935","WorldCat Record")</f>
        <v>WorldCat Record</v>
      </c>
      <c r="AU162" s="3" t="s">
        <v>2196</v>
      </c>
      <c r="AV162" s="3" t="s">
        <v>2197</v>
      </c>
      <c r="AW162" s="3" t="s">
        <v>2198</v>
      </c>
      <c r="AX162" s="3" t="s">
        <v>2198</v>
      </c>
      <c r="AY162" s="3" t="s">
        <v>2199</v>
      </c>
      <c r="AZ162" s="3" t="s">
        <v>74</v>
      </c>
      <c r="BB162" s="3" t="s">
        <v>2200</v>
      </c>
      <c r="BC162" s="3" t="s">
        <v>2201</v>
      </c>
      <c r="BD162" s="3" t="s">
        <v>2202</v>
      </c>
    </row>
    <row r="163" spans="1:56" ht="40.5" customHeight="1" x14ac:dyDescent="0.25">
      <c r="A163" s="7" t="s">
        <v>58</v>
      </c>
      <c r="B163" s="2" t="s">
        <v>2203</v>
      </c>
      <c r="C163" s="2" t="s">
        <v>2204</v>
      </c>
      <c r="D163" s="2" t="s">
        <v>2205</v>
      </c>
      <c r="F163" s="3" t="s">
        <v>58</v>
      </c>
      <c r="G163" s="3" t="s">
        <v>59</v>
      </c>
      <c r="H163" s="3" t="s">
        <v>58</v>
      </c>
      <c r="I163" s="3" t="s">
        <v>58</v>
      </c>
      <c r="J163" s="3" t="s">
        <v>60</v>
      </c>
      <c r="K163" s="2" t="s">
        <v>2206</v>
      </c>
      <c r="L163" s="2" t="s">
        <v>2207</v>
      </c>
      <c r="M163" s="3" t="s">
        <v>646</v>
      </c>
      <c r="O163" s="3" t="s">
        <v>65</v>
      </c>
      <c r="P163" s="3" t="s">
        <v>169</v>
      </c>
      <c r="Q163" s="2" t="s">
        <v>2049</v>
      </c>
      <c r="R163" s="3" t="s">
        <v>1602</v>
      </c>
      <c r="S163" s="4">
        <v>1</v>
      </c>
      <c r="T163" s="4">
        <v>1</v>
      </c>
      <c r="U163" s="5" t="s">
        <v>2208</v>
      </c>
      <c r="V163" s="5" t="s">
        <v>2208</v>
      </c>
      <c r="W163" s="5" t="s">
        <v>1619</v>
      </c>
      <c r="X163" s="5" t="s">
        <v>1619</v>
      </c>
      <c r="Y163" s="4">
        <v>913</v>
      </c>
      <c r="Z163" s="4">
        <v>807</v>
      </c>
      <c r="AA163" s="4">
        <v>815</v>
      </c>
      <c r="AB163" s="4">
        <v>5</v>
      </c>
      <c r="AC163" s="4">
        <v>5</v>
      </c>
      <c r="AD163" s="4">
        <v>38</v>
      </c>
      <c r="AE163" s="4">
        <v>38</v>
      </c>
      <c r="AF163" s="4">
        <v>12</v>
      </c>
      <c r="AG163" s="4">
        <v>12</v>
      </c>
      <c r="AH163" s="4">
        <v>6</v>
      </c>
      <c r="AI163" s="4">
        <v>6</v>
      </c>
      <c r="AJ163" s="4">
        <v>18</v>
      </c>
      <c r="AK163" s="4">
        <v>18</v>
      </c>
      <c r="AL163" s="4">
        <v>4</v>
      </c>
      <c r="AM163" s="4">
        <v>4</v>
      </c>
      <c r="AN163" s="4">
        <v>8</v>
      </c>
      <c r="AO163" s="4">
        <v>8</v>
      </c>
      <c r="AP163" s="3" t="s">
        <v>58</v>
      </c>
      <c r="AQ163" s="3" t="s">
        <v>80</v>
      </c>
      <c r="AR163" s="6" t="str">
        <f>HYPERLINK("http://catalog.hathitrust.org/Record/000019058","HathiTrust Record")</f>
        <v>HathiTrust Record</v>
      </c>
      <c r="AS163" s="6" t="str">
        <f>HYPERLINK("https://creighton-primo.hosted.exlibrisgroup.com/primo-explore/search?tab=default_tab&amp;search_scope=EVERYTHING&amp;vid=01CRU&amp;lang=en_US&amp;offset=0&amp;query=any,contains,991003806589702656","Catalog Record")</f>
        <v>Catalog Record</v>
      </c>
      <c r="AT163" s="6" t="str">
        <f>HYPERLINK("http://www.worldcat.org/oclc/1530873","WorldCat Record")</f>
        <v>WorldCat Record</v>
      </c>
      <c r="AU163" s="3" t="s">
        <v>2209</v>
      </c>
      <c r="AV163" s="3" t="s">
        <v>2210</v>
      </c>
      <c r="AW163" s="3" t="s">
        <v>2211</v>
      </c>
      <c r="AX163" s="3" t="s">
        <v>2211</v>
      </c>
      <c r="AY163" s="3" t="s">
        <v>2212</v>
      </c>
      <c r="AZ163" s="3" t="s">
        <v>74</v>
      </c>
      <c r="BB163" s="3" t="s">
        <v>2213</v>
      </c>
      <c r="BC163" s="3" t="s">
        <v>2214</v>
      </c>
      <c r="BD163" s="3" t="s">
        <v>2215</v>
      </c>
    </row>
    <row r="164" spans="1:56" ht="40.5" customHeight="1" x14ac:dyDescent="0.25">
      <c r="A164" s="7" t="s">
        <v>58</v>
      </c>
      <c r="B164" s="2" t="s">
        <v>2216</v>
      </c>
      <c r="C164" s="2" t="s">
        <v>2217</v>
      </c>
      <c r="D164" s="2" t="s">
        <v>2218</v>
      </c>
      <c r="F164" s="3" t="s">
        <v>58</v>
      </c>
      <c r="G164" s="3" t="s">
        <v>59</v>
      </c>
      <c r="H164" s="3" t="s">
        <v>58</v>
      </c>
      <c r="I164" s="3" t="s">
        <v>58</v>
      </c>
      <c r="J164" s="3" t="s">
        <v>60</v>
      </c>
      <c r="K164" s="2" t="s">
        <v>2219</v>
      </c>
      <c r="L164" s="2" t="s">
        <v>2220</v>
      </c>
      <c r="M164" s="3" t="s">
        <v>615</v>
      </c>
      <c r="O164" s="3" t="s">
        <v>65</v>
      </c>
      <c r="P164" s="3" t="s">
        <v>66</v>
      </c>
      <c r="R164" s="3" t="s">
        <v>1602</v>
      </c>
      <c r="S164" s="4">
        <v>2</v>
      </c>
      <c r="T164" s="4">
        <v>2</v>
      </c>
      <c r="U164" s="5" t="s">
        <v>2221</v>
      </c>
      <c r="V164" s="5" t="s">
        <v>2221</v>
      </c>
      <c r="W164" s="5" t="s">
        <v>1943</v>
      </c>
      <c r="X164" s="5" t="s">
        <v>1943</v>
      </c>
      <c r="Y164" s="4">
        <v>420</v>
      </c>
      <c r="Z164" s="4">
        <v>357</v>
      </c>
      <c r="AA164" s="4">
        <v>363</v>
      </c>
      <c r="AB164" s="4">
        <v>4</v>
      </c>
      <c r="AC164" s="4">
        <v>4</v>
      </c>
      <c r="AD164" s="4">
        <v>20</v>
      </c>
      <c r="AE164" s="4">
        <v>20</v>
      </c>
      <c r="AF164" s="4">
        <v>6</v>
      </c>
      <c r="AG164" s="4">
        <v>6</v>
      </c>
      <c r="AH164" s="4">
        <v>3</v>
      </c>
      <c r="AI164" s="4">
        <v>3</v>
      </c>
      <c r="AJ164" s="4">
        <v>7</v>
      </c>
      <c r="AK164" s="4">
        <v>7</v>
      </c>
      <c r="AL164" s="4">
        <v>2</v>
      </c>
      <c r="AM164" s="4">
        <v>2</v>
      </c>
      <c r="AN164" s="4">
        <v>5</v>
      </c>
      <c r="AO164" s="4">
        <v>5</v>
      </c>
      <c r="AP164" s="3" t="s">
        <v>58</v>
      </c>
      <c r="AQ164" s="3" t="s">
        <v>58</v>
      </c>
      <c r="AS164" s="6" t="str">
        <f>HYPERLINK("https://creighton-primo.hosted.exlibrisgroup.com/primo-explore/search?tab=default_tab&amp;search_scope=EVERYTHING&amp;vid=01CRU&amp;lang=en_US&amp;offset=0&amp;query=any,contains,991000173129702656","Catalog Record")</f>
        <v>Catalog Record</v>
      </c>
      <c r="AT164" s="6" t="str">
        <f>HYPERLINK("http://www.worldcat.org/oclc/9325110","WorldCat Record")</f>
        <v>WorldCat Record</v>
      </c>
      <c r="AU164" s="3" t="s">
        <v>2222</v>
      </c>
      <c r="AV164" s="3" t="s">
        <v>2223</v>
      </c>
      <c r="AW164" s="3" t="s">
        <v>2224</v>
      </c>
      <c r="AX164" s="3" t="s">
        <v>2224</v>
      </c>
      <c r="AY164" s="3" t="s">
        <v>2225</v>
      </c>
      <c r="AZ164" s="3" t="s">
        <v>74</v>
      </c>
      <c r="BB164" s="3" t="s">
        <v>2226</v>
      </c>
      <c r="BC164" s="3" t="s">
        <v>2227</v>
      </c>
      <c r="BD164" s="3" t="s">
        <v>2228</v>
      </c>
    </row>
    <row r="165" spans="1:56" ht="40.5" customHeight="1" x14ac:dyDescent="0.25">
      <c r="A165" s="7" t="s">
        <v>58</v>
      </c>
      <c r="B165" s="2" t="s">
        <v>2229</v>
      </c>
      <c r="C165" s="2" t="s">
        <v>2230</v>
      </c>
      <c r="D165" s="2" t="s">
        <v>2231</v>
      </c>
      <c r="F165" s="3" t="s">
        <v>58</v>
      </c>
      <c r="G165" s="3" t="s">
        <v>59</v>
      </c>
      <c r="H165" s="3" t="s">
        <v>58</v>
      </c>
      <c r="I165" s="3" t="s">
        <v>58</v>
      </c>
      <c r="J165" s="3" t="s">
        <v>60</v>
      </c>
      <c r="K165" s="2" t="s">
        <v>2232</v>
      </c>
      <c r="L165" s="2" t="s">
        <v>318</v>
      </c>
      <c r="M165" s="3" t="s">
        <v>319</v>
      </c>
      <c r="N165" s="2" t="s">
        <v>2233</v>
      </c>
      <c r="O165" s="3" t="s">
        <v>65</v>
      </c>
      <c r="P165" s="3" t="s">
        <v>112</v>
      </c>
      <c r="R165" s="3" t="s">
        <v>1602</v>
      </c>
      <c r="S165" s="4">
        <v>7</v>
      </c>
      <c r="T165" s="4">
        <v>7</v>
      </c>
      <c r="U165" s="5" t="s">
        <v>2234</v>
      </c>
      <c r="V165" s="5" t="s">
        <v>2234</v>
      </c>
      <c r="W165" s="5" t="s">
        <v>1943</v>
      </c>
      <c r="X165" s="5" t="s">
        <v>1943</v>
      </c>
      <c r="Y165" s="4">
        <v>227</v>
      </c>
      <c r="Z165" s="4">
        <v>188</v>
      </c>
      <c r="AA165" s="4">
        <v>576</v>
      </c>
      <c r="AB165" s="4">
        <v>2</v>
      </c>
      <c r="AC165" s="4">
        <v>3</v>
      </c>
      <c r="AD165" s="4">
        <v>13</v>
      </c>
      <c r="AE165" s="4">
        <v>33</v>
      </c>
      <c r="AF165" s="4">
        <v>5</v>
      </c>
      <c r="AG165" s="4">
        <v>11</v>
      </c>
      <c r="AH165" s="4">
        <v>2</v>
      </c>
      <c r="AI165" s="4">
        <v>5</v>
      </c>
      <c r="AJ165" s="4">
        <v>7</v>
      </c>
      <c r="AK165" s="4">
        <v>18</v>
      </c>
      <c r="AL165" s="4">
        <v>1</v>
      </c>
      <c r="AM165" s="4">
        <v>2</v>
      </c>
      <c r="AN165" s="4">
        <v>1</v>
      </c>
      <c r="AO165" s="4">
        <v>5</v>
      </c>
      <c r="AP165" s="3" t="s">
        <v>58</v>
      </c>
      <c r="AQ165" s="3" t="s">
        <v>58</v>
      </c>
      <c r="AS165" s="6" t="str">
        <f>HYPERLINK("https://creighton-primo.hosted.exlibrisgroup.com/primo-explore/search?tab=default_tab&amp;search_scope=EVERYTHING&amp;vid=01CRU&amp;lang=en_US&amp;offset=0&amp;query=any,contains,991004451979702656","Catalog Record")</f>
        <v>Catalog Record</v>
      </c>
      <c r="AT165" s="6" t="str">
        <f>HYPERLINK("http://www.worldcat.org/oclc/3516368","WorldCat Record")</f>
        <v>WorldCat Record</v>
      </c>
      <c r="AU165" s="3" t="s">
        <v>2235</v>
      </c>
      <c r="AV165" s="3" t="s">
        <v>2236</v>
      </c>
      <c r="AW165" s="3" t="s">
        <v>2237</v>
      </c>
      <c r="AX165" s="3" t="s">
        <v>2237</v>
      </c>
      <c r="AY165" s="3" t="s">
        <v>2238</v>
      </c>
      <c r="AZ165" s="3" t="s">
        <v>74</v>
      </c>
      <c r="BB165" s="3" t="s">
        <v>2239</v>
      </c>
      <c r="BC165" s="3" t="s">
        <v>2240</v>
      </c>
      <c r="BD165" s="3" t="s">
        <v>2241</v>
      </c>
    </row>
    <row r="166" spans="1:56" ht="40.5" customHeight="1" x14ac:dyDescent="0.25">
      <c r="A166" s="7" t="s">
        <v>58</v>
      </c>
      <c r="B166" s="2" t="s">
        <v>2242</v>
      </c>
      <c r="C166" s="2" t="s">
        <v>2243</v>
      </c>
      <c r="D166" s="2" t="s">
        <v>2244</v>
      </c>
      <c r="F166" s="3" t="s">
        <v>58</v>
      </c>
      <c r="G166" s="3" t="s">
        <v>59</v>
      </c>
      <c r="H166" s="3" t="s">
        <v>58</v>
      </c>
      <c r="I166" s="3" t="s">
        <v>58</v>
      </c>
      <c r="J166" s="3" t="s">
        <v>60</v>
      </c>
      <c r="K166" s="2" t="s">
        <v>2074</v>
      </c>
      <c r="L166" s="2" t="s">
        <v>2245</v>
      </c>
      <c r="M166" s="3" t="s">
        <v>1021</v>
      </c>
      <c r="O166" s="3" t="s">
        <v>65</v>
      </c>
      <c r="P166" s="3" t="s">
        <v>66</v>
      </c>
      <c r="R166" s="3" t="s">
        <v>1602</v>
      </c>
      <c r="S166" s="4">
        <v>2</v>
      </c>
      <c r="T166" s="4">
        <v>2</v>
      </c>
      <c r="U166" s="5" t="s">
        <v>2208</v>
      </c>
      <c r="V166" s="5" t="s">
        <v>2208</v>
      </c>
      <c r="W166" s="5" t="s">
        <v>1943</v>
      </c>
      <c r="X166" s="5" t="s">
        <v>1943</v>
      </c>
      <c r="Y166" s="4">
        <v>120</v>
      </c>
      <c r="Z166" s="4">
        <v>108</v>
      </c>
      <c r="AA166" s="4">
        <v>109</v>
      </c>
      <c r="AB166" s="4">
        <v>1</v>
      </c>
      <c r="AC166" s="4">
        <v>1</v>
      </c>
      <c r="AD166" s="4">
        <v>7</v>
      </c>
      <c r="AE166" s="4">
        <v>7</v>
      </c>
      <c r="AF166" s="4">
        <v>1</v>
      </c>
      <c r="AG166" s="4">
        <v>1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6</v>
      </c>
      <c r="AO166" s="4">
        <v>6</v>
      </c>
      <c r="AP166" s="3" t="s">
        <v>58</v>
      </c>
      <c r="AQ166" s="3" t="s">
        <v>58</v>
      </c>
      <c r="AS166" s="6" t="str">
        <f>HYPERLINK("https://creighton-primo.hosted.exlibrisgroup.com/primo-explore/search?tab=default_tab&amp;search_scope=EVERYTHING&amp;vid=01CRU&amp;lang=en_US&amp;offset=0&amp;query=any,contains,991003361729702656","Catalog Record")</f>
        <v>Catalog Record</v>
      </c>
      <c r="AT166" s="6" t="str">
        <f>HYPERLINK("http://www.worldcat.org/oclc/897756","WorldCat Record")</f>
        <v>WorldCat Record</v>
      </c>
      <c r="AU166" s="3" t="s">
        <v>2246</v>
      </c>
      <c r="AV166" s="3" t="s">
        <v>2247</v>
      </c>
      <c r="AW166" s="3" t="s">
        <v>2248</v>
      </c>
      <c r="AX166" s="3" t="s">
        <v>2248</v>
      </c>
      <c r="AY166" s="3" t="s">
        <v>2249</v>
      </c>
      <c r="AZ166" s="3" t="s">
        <v>74</v>
      </c>
      <c r="BC166" s="3" t="s">
        <v>2250</v>
      </c>
      <c r="BD166" s="3" t="s">
        <v>2251</v>
      </c>
    </row>
    <row r="167" spans="1:56" ht="40.5" customHeight="1" x14ac:dyDescent="0.25">
      <c r="A167" s="7" t="s">
        <v>58</v>
      </c>
      <c r="B167" s="2" t="s">
        <v>2252</v>
      </c>
      <c r="C167" s="2" t="s">
        <v>2253</v>
      </c>
      <c r="D167" s="2" t="s">
        <v>2254</v>
      </c>
      <c r="F167" s="3" t="s">
        <v>58</v>
      </c>
      <c r="G167" s="3" t="s">
        <v>59</v>
      </c>
      <c r="H167" s="3" t="s">
        <v>58</v>
      </c>
      <c r="I167" s="3" t="s">
        <v>58</v>
      </c>
      <c r="J167" s="3" t="s">
        <v>60</v>
      </c>
      <c r="K167" s="2" t="s">
        <v>2255</v>
      </c>
      <c r="L167" s="2" t="s">
        <v>2256</v>
      </c>
      <c r="M167" s="3" t="s">
        <v>362</v>
      </c>
      <c r="N167" s="2" t="s">
        <v>84</v>
      </c>
      <c r="O167" s="3" t="s">
        <v>65</v>
      </c>
      <c r="P167" s="3" t="s">
        <v>66</v>
      </c>
      <c r="R167" s="3" t="s">
        <v>1602</v>
      </c>
      <c r="S167" s="4">
        <v>4</v>
      </c>
      <c r="T167" s="4">
        <v>4</v>
      </c>
      <c r="U167" s="5" t="s">
        <v>2257</v>
      </c>
      <c r="V167" s="5" t="s">
        <v>2257</v>
      </c>
      <c r="W167" s="5" t="s">
        <v>2258</v>
      </c>
      <c r="X167" s="5" t="s">
        <v>2258</v>
      </c>
      <c r="Y167" s="4">
        <v>743</v>
      </c>
      <c r="Z167" s="4">
        <v>695</v>
      </c>
      <c r="AA167" s="4">
        <v>700</v>
      </c>
      <c r="AB167" s="4">
        <v>8</v>
      </c>
      <c r="AC167" s="4">
        <v>8</v>
      </c>
      <c r="AD167" s="4">
        <v>36</v>
      </c>
      <c r="AE167" s="4">
        <v>36</v>
      </c>
      <c r="AF167" s="4">
        <v>12</v>
      </c>
      <c r="AG167" s="4">
        <v>12</v>
      </c>
      <c r="AH167" s="4">
        <v>7</v>
      </c>
      <c r="AI167" s="4">
        <v>7</v>
      </c>
      <c r="AJ167" s="4">
        <v>17</v>
      </c>
      <c r="AK167" s="4">
        <v>17</v>
      </c>
      <c r="AL167" s="4">
        <v>6</v>
      </c>
      <c r="AM167" s="4">
        <v>6</v>
      </c>
      <c r="AN167" s="4">
        <v>0</v>
      </c>
      <c r="AO167" s="4">
        <v>0</v>
      </c>
      <c r="AP167" s="3" t="s">
        <v>58</v>
      </c>
      <c r="AQ167" s="3" t="s">
        <v>58</v>
      </c>
      <c r="AS167" s="6" t="str">
        <f>HYPERLINK("https://creighton-primo.hosted.exlibrisgroup.com/primo-explore/search?tab=default_tab&amp;search_scope=EVERYTHING&amp;vid=01CRU&amp;lang=en_US&amp;offset=0&amp;query=any,contains,991002228809702656","Catalog Record")</f>
        <v>Catalog Record</v>
      </c>
      <c r="AT167" s="6" t="str">
        <f>HYPERLINK("http://www.worldcat.org/oclc/28710780","WorldCat Record")</f>
        <v>WorldCat Record</v>
      </c>
      <c r="AU167" s="3" t="s">
        <v>2259</v>
      </c>
      <c r="AV167" s="3" t="s">
        <v>2260</v>
      </c>
      <c r="AW167" s="3" t="s">
        <v>2261</v>
      </c>
      <c r="AX167" s="3" t="s">
        <v>2261</v>
      </c>
      <c r="AY167" s="3" t="s">
        <v>2262</v>
      </c>
      <c r="AZ167" s="3" t="s">
        <v>74</v>
      </c>
      <c r="BB167" s="3" t="s">
        <v>2263</v>
      </c>
      <c r="BC167" s="3" t="s">
        <v>2264</v>
      </c>
      <c r="BD167" s="3" t="s">
        <v>2265</v>
      </c>
    </row>
    <row r="168" spans="1:56" ht="40.5" customHeight="1" x14ac:dyDescent="0.25">
      <c r="A168" s="7" t="s">
        <v>58</v>
      </c>
      <c r="B168" s="2" t="s">
        <v>2266</v>
      </c>
      <c r="C168" s="2" t="s">
        <v>2267</v>
      </c>
      <c r="D168" s="2" t="s">
        <v>2268</v>
      </c>
      <c r="F168" s="3" t="s">
        <v>58</v>
      </c>
      <c r="G168" s="3" t="s">
        <v>59</v>
      </c>
      <c r="H168" s="3" t="s">
        <v>80</v>
      </c>
      <c r="I168" s="3" t="s">
        <v>58</v>
      </c>
      <c r="J168" s="3" t="s">
        <v>60</v>
      </c>
      <c r="K168" s="2" t="s">
        <v>2269</v>
      </c>
      <c r="L168" s="2" t="s">
        <v>2270</v>
      </c>
      <c r="M168" s="3" t="s">
        <v>1329</v>
      </c>
      <c r="O168" s="3" t="s">
        <v>65</v>
      </c>
      <c r="P168" s="3" t="s">
        <v>66</v>
      </c>
      <c r="R168" s="3" t="s">
        <v>1602</v>
      </c>
      <c r="S168" s="4">
        <v>1</v>
      </c>
      <c r="T168" s="4">
        <v>1</v>
      </c>
      <c r="U168" s="5" t="s">
        <v>2271</v>
      </c>
      <c r="V168" s="5" t="s">
        <v>2271</v>
      </c>
      <c r="W168" s="5" t="s">
        <v>1201</v>
      </c>
      <c r="X168" s="5" t="s">
        <v>1201</v>
      </c>
      <c r="Y168" s="4">
        <v>1172</v>
      </c>
      <c r="Z168" s="4">
        <v>998</v>
      </c>
      <c r="AA168" s="4">
        <v>1011</v>
      </c>
      <c r="AB168" s="4">
        <v>8</v>
      </c>
      <c r="AC168" s="4">
        <v>8</v>
      </c>
      <c r="AD168" s="4">
        <v>46</v>
      </c>
      <c r="AE168" s="4">
        <v>46</v>
      </c>
      <c r="AF168" s="4">
        <v>20</v>
      </c>
      <c r="AG168" s="4">
        <v>20</v>
      </c>
      <c r="AH168" s="4">
        <v>9</v>
      </c>
      <c r="AI168" s="4">
        <v>9</v>
      </c>
      <c r="AJ168" s="4">
        <v>21</v>
      </c>
      <c r="AK168" s="4">
        <v>21</v>
      </c>
      <c r="AL168" s="4">
        <v>5</v>
      </c>
      <c r="AM168" s="4">
        <v>5</v>
      </c>
      <c r="AN168" s="4">
        <v>1</v>
      </c>
      <c r="AO168" s="4">
        <v>1</v>
      </c>
      <c r="AP168" s="3" t="s">
        <v>58</v>
      </c>
      <c r="AQ168" s="3" t="s">
        <v>80</v>
      </c>
      <c r="AR168" s="6" t="str">
        <f>HYPERLINK("http://catalog.hathitrust.org/Record/001129613","HathiTrust Record")</f>
        <v>HathiTrust Record</v>
      </c>
      <c r="AS168" s="6" t="str">
        <f>HYPERLINK("https://creighton-primo.hosted.exlibrisgroup.com/primo-explore/search?tab=default_tab&amp;search_scope=EVERYTHING&amp;vid=01CRU&amp;lang=en_US&amp;offset=0&amp;query=any,contains,991001694049702656","Catalog Record")</f>
        <v>Catalog Record</v>
      </c>
      <c r="AT168" s="6" t="str">
        <f>HYPERLINK("http://www.worldcat.org/oclc/89903","WorldCat Record")</f>
        <v>WorldCat Record</v>
      </c>
      <c r="AU168" s="3" t="s">
        <v>2272</v>
      </c>
      <c r="AV168" s="3" t="s">
        <v>2273</v>
      </c>
      <c r="AW168" s="3" t="s">
        <v>2274</v>
      </c>
      <c r="AX168" s="3" t="s">
        <v>2274</v>
      </c>
      <c r="AY168" s="3" t="s">
        <v>2275</v>
      </c>
      <c r="AZ168" s="3" t="s">
        <v>74</v>
      </c>
      <c r="BB168" s="3" t="s">
        <v>2276</v>
      </c>
      <c r="BC168" s="3" t="s">
        <v>2277</v>
      </c>
      <c r="BD168" s="3" t="s">
        <v>2278</v>
      </c>
    </row>
    <row r="169" spans="1:56" ht="40.5" customHeight="1" x14ac:dyDescent="0.25">
      <c r="A169" s="7" t="s">
        <v>58</v>
      </c>
      <c r="B169" s="2" t="s">
        <v>2279</v>
      </c>
      <c r="C169" s="2" t="s">
        <v>2280</v>
      </c>
      <c r="D169" s="2" t="s">
        <v>2281</v>
      </c>
      <c r="F169" s="3" t="s">
        <v>58</v>
      </c>
      <c r="G169" s="3" t="s">
        <v>59</v>
      </c>
      <c r="H169" s="3" t="s">
        <v>58</v>
      </c>
      <c r="I169" s="3" t="s">
        <v>58</v>
      </c>
      <c r="J169" s="3" t="s">
        <v>60</v>
      </c>
      <c r="K169" s="2" t="s">
        <v>2282</v>
      </c>
      <c r="L169" s="2" t="s">
        <v>2283</v>
      </c>
      <c r="M169" s="3" t="s">
        <v>2284</v>
      </c>
      <c r="O169" s="3" t="s">
        <v>65</v>
      </c>
      <c r="P169" s="3" t="s">
        <v>2035</v>
      </c>
      <c r="Q169" s="2" t="s">
        <v>2285</v>
      </c>
      <c r="R169" s="3" t="s">
        <v>1602</v>
      </c>
      <c r="S169" s="4">
        <v>1</v>
      </c>
      <c r="T169" s="4">
        <v>1</v>
      </c>
      <c r="U169" s="5" t="s">
        <v>1753</v>
      </c>
      <c r="V169" s="5" t="s">
        <v>1753</v>
      </c>
      <c r="W169" s="5" t="s">
        <v>1201</v>
      </c>
      <c r="X169" s="5" t="s">
        <v>1201</v>
      </c>
      <c r="Y169" s="4">
        <v>140</v>
      </c>
      <c r="Z169" s="4">
        <v>134</v>
      </c>
      <c r="AA169" s="4">
        <v>225</v>
      </c>
      <c r="AB169" s="4">
        <v>2</v>
      </c>
      <c r="AC169" s="4">
        <v>4</v>
      </c>
      <c r="AD169" s="4">
        <v>3</v>
      </c>
      <c r="AE169" s="4">
        <v>8</v>
      </c>
      <c r="AF169" s="4">
        <v>0</v>
      </c>
      <c r="AG169" s="4">
        <v>1</v>
      </c>
      <c r="AH169" s="4">
        <v>0</v>
      </c>
      <c r="AI169" s="4">
        <v>3</v>
      </c>
      <c r="AJ169" s="4">
        <v>2</v>
      </c>
      <c r="AK169" s="4">
        <v>3</v>
      </c>
      <c r="AL169" s="4">
        <v>1</v>
      </c>
      <c r="AM169" s="4">
        <v>3</v>
      </c>
      <c r="AN169" s="4">
        <v>0</v>
      </c>
      <c r="AO169" s="4">
        <v>0</v>
      </c>
      <c r="AP169" s="3" t="s">
        <v>80</v>
      </c>
      <c r="AQ169" s="3" t="s">
        <v>58</v>
      </c>
      <c r="AR169" s="6" t="str">
        <f>HYPERLINK("http://catalog.hathitrust.org/Record/001119271","HathiTrust Record")</f>
        <v>HathiTrust Record</v>
      </c>
      <c r="AS169" s="6" t="str">
        <f>HYPERLINK("https://creighton-primo.hosted.exlibrisgroup.com/primo-explore/search?tab=default_tab&amp;search_scope=EVERYTHING&amp;vid=01CRU&amp;lang=en_US&amp;offset=0&amp;query=any,contains,991003474759702656","Catalog Record")</f>
        <v>Catalog Record</v>
      </c>
      <c r="AT169" s="6" t="str">
        <f>HYPERLINK("http://www.worldcat.org/oclc/1018833","WorldCat Record")</f>
        <v>WorldCat Record</v>
      </c>
      <c r="AU169" s="3" t="s">
        <v>2286</v>
      </c>
      <c r="AV169" s="3" t="s">
        <v>2287</v>
      </c>
      <c r="AW169" s="3" t="s">
        <v>2288</v>
      </c>
      <c r="AX169" s="3" t="s">
        <v>2288</v>
      </c>
      <c r="AY169" s="3" t="s">
        <v>2289</v>
      </c>
      <c r="AZ169" s="3" t="s">
        <v>74</v>
      </c>
      <c r="BC169" s="3" t="s">
        <v>2290</v>
      </c>
      <c r="BD169" s="3" t="s">
        <v>2291</v>
      </c>
    </row>
    <row r="170" spans="1:56" ht="40.5" customHeight="1" x14ac:dyDescent="0.25">
      <c r="A170" s="7" t="s">
        <v>58</v>
      </c>
      <c r="B170" s="2" t="s">
        <v>2292</v>
      </c>
      <c r="C170" s="2" t="s">
        <v>2293</v>
      </c>
      <c r="D170" s="2" t="s">
        <v>2294</v>
      </c>
      <c r="F170" s="3" t="s">
        <v>58</v>
      </c>
      <c r="G170" s="3" t="s">
        <v>59</v>
      </c>
      <c r="H170" s="3" t="s">
        <v>58</v>
      </c>
      <c r="I170" s="3" t="s">
        <v>58</v>
      </c>
      <c r="J170" s="3" t="s">
        <v>60</v>
      </c>
      <c r="K170" s="2" t="s">
        <v>2295</v>
      </c>
      <c r="L170" s="2" t="s">
        <v>2296</v>
      </c>
      <c r="M170" s="3" t="s">
        <v>1021</v>
      </c>
      <c r="N170" s="2" t="s">
        <v>1970</v>
      </c>
      <c r="O170" s="3" t="s">
        <v>65</v>
      </c>
      <c r="P170" s="3" t="s">
        <v>112</v>
      </c>
      <c r="Q170" s="2" t="s">
        <v>2297</v>
      </c>
      <c r="R170" s="3" t="s">
        <v>1602</v>
      </c>
      <c r="S170" s="4">
        <v>4</v>
      </c>
      <c r="T170" s="4">
        <v>4</v>
      </c>
      <c r="U170" s="5" t="s">
        <v>2298</v>
      </c>
      <c r="V170" s="5" t="s">
        <v>2298</v>
      </c>
      <c r="W170" s="5" t="s">
        <v>1086</v>
      </c>
      <c r="X170" s="5" t="s">
        <v>1086</v>
      </c>
      <c r="Y170" s="4">
        <v>393</v>
      </c>
      <c r="Z170" s="4">
        <v>273</v>
      </c>
      <c r="AA170" s="4">
        <v>845</v>
      </c>
      <c r="AB170" s="4">
        <v>2</v>
      </c>
      <c r="AC170" s="4">
        <v>6</v>
      </c>
      <c r="AD170" s="4">
        <v>7</v>
      </c>
      <c r="AE170" s="4">
        <v>35</v>
      </c>
      <c r="AF170" s="4">
        <v>1</v>
      </c>
      <c r="AG170" s="4">
        <v>11</v>
      </c>
      <c r="AH170" s="4">
        <v>2</v>
      </c>
      <c r="AI170" s="4">
        <v>8</v>
      </c>
      <c r="AJ170" s="4">
        <v>1</v>
      </c>
      <c r="AK170" s="4">
        <v>17</v>
      </c>
      <c r="AL170" s="4">
        <v>1</v>
      </c>
      <c r="AM170" s="4">
        <v>5</v>
      </c>
      <c r="AN170" s="4">
        <v>2</v>
      </c>
      <c r="AO170" s="4">
        <v>3</v>
      </c>
      <c r="AP170" s="3" t="s">
        <v>58</v>
      </c>
      <c r="AQ170" s="3" t="s">
        <v>80</v>
      </c>
      <c r="AR170" s="6" t="str">
        <f>HYPERLINK("http://catalog.hathitrust.org/Record/001129648","HathiTrust Record")</f>
        <v>HathiTrust Record</v>
      </c>
      <c r="AS170" s="6" t="str">
        <f>HYPERLINK("https://creighton-primo.hosted.exlibrisgroup.com/primo-explore/search?tab=default_tab&amp;search_scope=EVERYTHING&amp;vid=01CRU&amp;lang=en_US&amp;offset=0&amp;query=any,contains,991002759899702656","Catalog Record")</f>
        <v>Catalog Record</v>
      </c>
      <c r="AT170" s="6" t="str">
        <f>HYPERLINK("http://www.worldcat.org/oclc/427549","WorldCat Record")</f>
        <v>WorldCat Record</v>
      </c>
      <c r="AU170" s="3" t="s">
        <v>2299</v>
      </c>
      <c r="AV170" s="3" t="s">
        <v>2300</v>
      </c>
      <c r="AW170" s="3" t="s">
        <v>2301</v>
      </c>
      <c r="AX170" s="3" t="s">
        <v>2301</v>
      </c>
      <c r="AY170" s="3" t="s">
        <v>2302</v>
      </c>
      <c r="AZ170" s="3" t="s">
        <v>74</v>
      </c>
      <c r="BB170" s="3" t="s">
        <v>2303</v>
      </c>
      <c r="BC170" s="3" t="s">
        <v>2304</v>
      </c>
      <c r="BD170" s="3" t="s">
        <v>2305</v>
      </c>
    </row>
    <row r="171" spans="1:56" ht="40.5" customHeight="1" x14ac:dyDescent="0.25">
      <c r="A171" s="7" t="s">
        <v>58</v>
      </c>
      <c r="B171" s="2" t="s">
        <v>2306</v>
      </c>
      <c r="C171" s="2" t="s">
        <v>2307</v>
      </c>
      <c r="D171" s="2" t="s">
        <v>2308</v>
      </c>
      <c r="F171" s="3" t="s">
        <v>58</v>
      </c>
      <c r="G171" s="3" t="s">
        <v>59</v>
      </c>
      <c r="H171" s="3" t="s">
        <v>58</v>
      </c>
      <c r="I171" s="3" t="s">
        <v>58</v>
      </c>
      <c r="J171" s="3" t="s">
        <v>60</v>
      </c>
      <c r="K171" s="2" t="s">
        <v>2309</v>
      </c>
      <c r="L171" s="2" t="s">
        <v>2310</v>
      </c>
      <c r="M171" s="3" t="s">
        <v>2311</v>
      </c>
      <c r="O171" s="3" t="s">
        <v>65</v>
      </c>
      <c r="P171" s="3" t="s">
        <v>2035</v>
      </c>
      <c r="R171" s="3" t="s">
        <v>1602</v>
      </c>
      <c r="S171" s="4">
        <v>1</v>
      </c>
      <c r="T171" s="4">
        <v>1</v>
      </c>
      <c r="U171" s="5" t="s">
        <v>2312</v>
      </c>
      <c r="V171" s="5" t="s">
        <v>2312</v>
      </c>
      <c r="W171" s="5" t="s">
        <v>1201</v>
      </c>
      <c r="X171" s="5" t="s">
        <v>1201</v>
      </c>
      <c r="Y171" s="4">
        <v>288</v>
      </c>
      <c r="Z171" s="4">
        <v>242</v>
      </c>
      <c r="AA171" s="4">
        <v>342</v>
      </c>
      <c r="AB171" s="4">
        <v>3</v>
      </c>
      <c r="AC171" s="4">
        <v>3</v>
      </c>
      <c r="AD171" s="4">
        <v>13</v>
      </c>
      <c r="AE171" s="4">
        <v>17</v>
      </c>
      <c r="AF171" s="4">
        <v>4</v>
      </c>
      <c r="AG171" s="4">
        <v>5</v>
      </c>
      <c r="AH171" s="4">
        <v>3</v>
      </c>
      <c r="AI171" s="4">
        <v>4</v>
      </c>
      <c r="AJ171" s="4">
        <v>6</v>
      </c>
      <c r="AK171" s="4">
        <v>9</v>
      </c>
      <c r="AL171" s="4">
        <v>2</v>
      </c>
      <c r="AM171" s="4">
        <v>2</v>
      </c>
      <c r="AN171" s="4">
        <v>0</v>
      </c>
      <c r="AO171" s="4">
        <v>0</v>
      </c>
      <c r="AP171" s="3" t="s">
        <v>58</v>
      </c>
      <c r="AQ171" s="3" t="s">
        <v>80</v>
      </c>
      <c r="AR171" s="6" t="str">
        <f>HYPERLINK("http://catalog.hathitrust.org/Record/006069651","HathiTrust Record")</f>
        <v>HathiTrust Record</v>
      </c>
      <c r="AS171" s="6" t="str">
        <f>HYPERLINK("https://creighton-primo.hosted.exlibrisgroup.com/primo-explore/search?tab=default_tab&amp;search_scope=EVERYTHING&amp;vid=01CRU&amp;lang=en_US&amp;offset=0&amp;query=any,contains,991003895009702656","Catalog Record")</f>
        <v>Catalog Record</v>
      </c>
      <c r="AT171" s="6" t="str">
        <f>HYPERLINK("http://www.worldcat.org/oclc/3955380","WorldCat Record")</f>
        <v>WorldCat Record</v>
      </c>
      <c r="AU171" s="3" t="s">
        <v>2313</v>
      </c>
      <c r="AV171" s="3" t="s">
        <v>2314</v>
      </c>
      <c r="AW171" s="3" t="s">
        <v>2315</v>
      </c>
      <c r="AX171" s="3" t="s">
        <v>2315</v>
      </c>
      <c r="AY171" s="3" t="s">
        <v>2316</v>
      </c>
      <c r="AZ171" s="3" t="s">
        <v>74</v>
      </c>
      <c r="BC171" s="3" t="s">
        <v>2317</v>
      </c>
      <c r="BD171" s="3" t="s">
        <v>2318</v>
      </c>
    </row>
    <row r="172" spans="1:56" ht="40.5" customHeight="1" x14ac:dyDescent="0.25">
      <c r="A172" s="7" t="s">
        <v>58</v>
      </c>
      <c r="B172" s="2" t="s">
        <v>2319</v>
      </c>
      <c r="C172" s="2" t="s">
        <v>2320</v>
      </c>
      <c r="D172" s="2" t="s">
        <v>2321</v>
      </c>
      <c r="F172" s="3" t="s">
        <v>58</v>
      </c>
      <c r="G172" s="3" t="s">
        <v>59</v>
      </c>
      <c r="H172" s="3" t="s">
        <v>58</v>
      </c>
      <c r="I172" s="3" t="s">
        <v>58</v>
      </c>
      <c r="J172" s="3" t="s">
        <v>60</v>
      </c>
      <c r="L172" s="2" t="s">
        <v>2322</v>
      </c>
      <c r="M172" s="3" t="s">
        <v>2156</v>
      </c>
      <c r="O172" s="3" t="s">
        <v>65</v>
      </c>
      <c r="P172" s="3" t="s">
        <v>169</v>
      </c>
      <c r="Q172" s="2" t="s">
        <v>2323</v>
      </c>
      <c r="R172" s="3" t="s">
        <v>1602</v>
      </c>
      <c r="S172" s="4">
        <v>5</v>
      </c>
      <c r="T172" s="4">
        <v>5</v>
      </c>
      <c r="U172" s="5" t="s">
        <v>1777</v>
      </c>
      <c r="V172" s="5" t="s">
        <v>1777</v>
      </c>
      <c r="W172" s="5" t="s">
        <v>1086</v>
      </c>
      <c r="X172" s="5" t="s">
        <v>1086</v>
      </c>
      <c r="Y172" s="4">
        <v>434</v>
      </c>
      <c r="Z172" s="4">
        <v>410</v>
      </c>
      <c r="AA172" s="4">
        <v>642</v>
      </c>
      <c r="AB172" s="4">
        <v>3</v>
      </c>
      <c r="AC172" s="4">
        <v>4</v>
      </c>
      <c r="AD172" s="4">
        <v>19</v>
      </c>
      <c r="AE172" s="4">
        <v>36</v>
      </c>
      <c r="AF172" s="4">
        <v>5</v>
      </c>
      <c r="AG172" s="4">
        <v>9</v>
      </c>
      <c r="AH172" s="4">
        <v>5</v>
      </c>
      <c r="AI172" s="4">
        <v>7</v>
      </c>
      <c r="AJ172" s="4">
        <v>7</v>
      </c>
      <c r="AK172" s="4">
        <v>15</v>
      </c>
      <c r="AL172" s="4">
        <v>2</v>
      </c>
      <c r="AM172" s="4">
        <v>3</v>
      </c>
      <c r="AN172" s="4">
        <v>4</v>
      </c>
      <c r="AO172" s="4">
        <v>9</v>
      </c>
      <c r="AP172" s="3" t="s">
        <v>58</v>
      </c>
      <c r="AQ172" s="3" t="s">
        <v>80</v>
      </c>
      <c r="AR172" s="6" t="str">
        <f>HYPERLINK("http://catalog.hathitrust.org/Record/006226868","HathiTrust Record")</f>
        <v>HathiTrust Record</v>
      </c>
      <c r="AS172" s="6" t="str">
        <f>HYPERLINK("https://creighton-primo.hosted.exlibrisgroup.com/primo-explore/search?tab=default_tab&amp;search_scope=EVERYTHING&amp;vid=01CRU&amp;lang=en_US&amp;offset=0&amp;query=any,contains,991000105719702656","Catalog Record")</f>
        <v>Catalog Record</v>
      </c>
      <c r="AT172" s="6" t="str">
        <f>HYPERLINK("http://www.worldcat.org/oclc/8975655","WorldCat Record")</f>
        <v>WorldCat Record</v>
      </c>
      <c r="AU172" s="3" t="s">
        <v>2324</v>
      </c>
      <c r="AV172" s="3" t="s">
        <v>2325</v>
      </c>
      <c r="AW172" s="3" t="s">
        <v>2326</v>
      </c>
      <c r="AX172" s="3" t="s">
        <v>2326</v>
      </c>
      <c r="AY172" s="3" t="s">
        <v>2327</v>
      </c>
      <c r="AZ172" s="3" t="s">
        <v>74</v>
      </c>
      <c r="BB172" s="3" t="s">
        <v>2328</v>
      </c>
      <c r="BC172" s="3" t="s">
        <v>2329</v>
      </c>
      <c r="BD172" s="3" t="s">
        <v>2330</v>
      </c>
    </row>
    <row r="173" spans="1:56" ht="40.5" customHeight="1" x14ac:dyDescent="0.25">
      <c r="A173" s="7" t="s">
        <v>58</v>
      </c>
      <c r="B173" s="2" t="s">
        <v>2331</v>
      </c>
      <c r="C173" s="2" t="s">
        <v>2332</v>
      </c>
      <c r="D173" s="2" t="s">
        <v>2333</v>
      </c>
      <c r="F173" s="3" t="s">
        <v>58</v>
      </c>
      <c r="G173" s="3" t="s">
        <v>59</v>
      </c>
      <c r="H173" s="3" t="s">
        <v>58</v>
      </c>
      <c r="I173" s="3" t="s">
        <v>58</v>
      </c>
      <c r="J173" s="3" t="s">
        <v>60</v>
      </c>
      <c r="K173" s="2" t="s">
        <v>2334</v>
      </c>
      <c r="L173" s="2" t="s">
        <v>2335</v>
      </c>
      <c r="M173" s="3" t="s">
        <v>139</v>
      </c>
      <c r="O173" s="3" t="s">
        <v>65</v>
      </c>
      <c r="P173" s="3" t="s">
        <v>66</v>
      </c>
      <c r="R173" s="3" t="s">
        <v>1602</v>
      </c>
      <c r="S173" s="4">
        <v>1</v>
      </c>
      <c r="T173" s="4">
        <v>1</v>
      </c>
      <c r="U173" s="5" t="s">
        <v>2336</v>
      </c>
      <c r="V173" s="5" t="s">
        <v>2336</v>
      </c>
      <c r="W173" s="5" t="s">
        <v>2336</v>
      </c>
      <c r="X173" s="5" t="s">
        <v>2336</v>
      </c>
      <c r="Y173" s="4">
        <v>1343</v>
      </c>
      <c r="Z173" s="4">
        <v>1219</v>
      </c>
      <c r="AA173" s="4">
        <v>1286</v>
      </c>
      <c r="AB173" s="4">
        <v>9</v>
      </c>
      <c r="AC173" s="4">
        <v>9</v>
      </c>
      <c r="AD173" s="4">
        <v>41</v>
      </c>
      <c r="AE173" s="4">
        <v>41</v>
      </c>
      <c r="AF173" s="4">
        <v>15</v>
      </c>
      <c r="AG173" s="4">
        <v>15</v>
      </c>
      <c r="AH173" s="4">
        <v>9</v>
      </c>
      <c r="AI173" s="4">
        <v>9</v>
      </c>
      <c r="AJ173" s="4">
        <v>19</v>
      </c>
      <c r="AK173" s="4">
        <v>19</v>
      </c>
      <c r="AL173" s="4">
        <v>6</v>
      </c>
      <c r="AM173" s="4">
        <v>6</v>
      </c>
      <c r="AN173" s="4">
        <v>2</v>
      </c>
      <c r="AO173" s="4">
        <v>2</v>
      </c>
      <c r="AP173" s="3" t="s">
        <v>58</v>
      </c>
      <c r="AQ173" s="3" t="s">
        <v>80</v>
      </c>
      <c r="AR173" s="6" t="str">
        <f>HYPERLINK("http://catalog.hathitrust.org/Record/000943165","HathiTrust Record")</f>
        <v>HathiTrust Record</v>
      </c>
      <c r="AS173" s="6" t="str">
        <f>HYPERLINK("https://creighton-primo.hosted.exlibrisgroup.com/primo-explore/search?tab=default_tab&amp;search_scope=EVERYTHING&amp;vid=01CRU&amp;lang=en_US&amp;offset=0&amp;query=any,contains,991005231039702656","Catalog Record")</f>
        <v>Catalog Record</v>
      </c>
      <c r="AT173" s="6" t="str">
        <f>HYPERLINK("http://www.worldcat.org/oclc/17840750","WorldCat Record")</f>
        <v>WorldCat Record</v>
      </c>
      <c r="AU173" s="3" t="s">
        <v>2337</v>
      </c>
      <c r="AV173" s="3" t="s">
        <v>2338</v>
      </c>
      <c r="AW173" s="3" t="s">
        <v>2339</v>
      </c>
      <c r="AX173" s="3" t="s">
        <v>2339</v>
      </c>
      <c r="AY173" s="3" t="s">
        <v>2340</v>
      </c>
      <c r="AZ173" s="3" t="s">
        <v>74</v>
      </c>
      <c r="BB173" s="3" t="s">
        <v>2341</v>
      </c>
      <c r="BC173" s="3" t="s">
        <v>2342</v>
      </c>
      <c r="BD173" s="3" t="s">
        <v>2343</v>
      </c>
    </row>
    <row r="174" spans="1:56" ht="40.5" customHeight="1" x14ac:dyDescent="0.25">
      <c r="A174" s="7" t="s">
        <v>58</v>
      </c>
      <c r="B174" s="2" t="s">
        <v>2344</v>
      </c>
      <c r="C174" s="2" t="s">
        <v>2345</v>
      </c>
      <c r="D174" s="2" t="s">
        <v>2346</v>
      </c>
      <c r="F174" s="3" t="s">
        <v>58</v>
      </c>
      <c r="G174" s="3" t="s">
        <v>59</v>
      </c>
      <c r="H174" s="3" t="s">
        <v>58</v>
      </c>
      <c r="I174" s="3" t="s">
        <v>58</v>
      </c>
      <c r="J174" s="3" t="s">
        <v>60</v>
      </c>
      <c r="L174" s="2" t="s">
        <v>2347</v>
      </c>
      <c r="M174" s="3" t="s">
        <v>1926</v>
      </c>
      <c r="O174" s="3" t="s">
        <v>65</v>
      </c>
      <c r="P174" s="3" t="s">
        <v>112</v>
      </c>
      <c r="Q174" s="2" t="s">
        <v>2348</v>
      </c>
      <c r="R174" s="3" t="s">
        <v>1602</v>
      </c>
      <c r="S174" s="4">
        <v>2</v>
      </c>
      <c r="T174" s="4">
        <v>2</v>
      </c>
      <c r="U174" s="5" t="s">
        <v>1957</v>
      </c>
      <c r="V174" s="5" t="s">
        <v>1957</v>
      </c>
      <c r="W174" s="5" t="s">
        <v>2349</v>
      </c>
      <c r="X174" s="5" t="s">
        <v>2349</v>
      </c>
      <c r="Y174" s="4">
        <v>381</v>
      </c>
      <c r="Z174" s="4">
        <v>322</v>
      </c>
      <c r="AA174" s="4">
        <v>328</v>
      </c>
      <c r="AB174" s="4">
        <v>3</v>
      </c>
      <c r="AC174" s="4">
        <v>3</v>
      </c>
      <c r="AD174" s="4">
        <v>16</v>
      </c>
      <c r="AE174" s="4">
        <v>16</v>
      </c>
      <c r="AF174" s="4">
        <v>5</v>
      </c>
      <c r="AG174" s="4">
        <v>5</v>
      </c>
      <c r="AH174" s="4">
        <v>4</v>
      </c>
      <c r="AI174" s="4">
        <v>4</v>
      </c>
      <c r="AJ174" s="4">
        <v>11</v>
      </c>
      <c r="AK174" s="4">
        <v>11</v>
      </c>
      <c r="AL174" s="4">
        <v>2</v>
      </c>
      <c r="AM174" s="4">
        <v>2</v>
      </c>
      <c r="AN174" s="4">
        <v>0</v>
      </c>
      <c r="AO174" s="4">
        <v>0</v>
      </c>
      <c r="AP174" s="3" t="s">
        <v>58</v>
      </c>
      <c r="AQ174" s="3" t="s">
        <v>80</v>
      </c>
      <c r="AR174" s="6" t="str">
        <f>HYPERLINK("http://catalog.hathitrust.org/Record/000707321","HathiTrust Record")</f>
        <v>HathiTrust Record</v>
      </c>
      <c r="AS174" s="6" t="str">
        <f>HYPERLINK("https://creighton-primo.hosted.exlibrisgroup.com/primo-explore/search?tab=default_tab&amp;search_scope=EVERYTHING&amp;vid=01CRU&amp;lang=en_US&amp;offset=0&amp;query=any,contains,991004888259702656","Catalog Record")</f>
        <v>Catalog Record</v>
      </c>
      <c r="AT174" s="6" t="str">
        <f>HYPERLINK("http://www.worldcat.org/oclc/5846738","WorldCat Record")</f>
        <v>WorldCat Record</v>
      </c>
      <c r="AU174" s="3" t="s">
        <v>2350</v>
      </c>
      <c r="AV174" s="3" t="s">
        <v>2351</v>
      </c>
      <c r="AW174" s="3" t="s">
        <v>2352</v>
      </c>
      <c r="AX174" s="3" t="s">
        <v>2352</v>
      </c>
      <c r="AY174" s="3" t="s">
        <v>2353</v>
      </c>
      <c r="AZ174" s="3" t="s">
        <v>74</v>
      </c>
      <c r="BC174" s="3" t="s">
        <v>2354</v>
      </c>
      <c r="BD174" s="3" t="s">
        <v>2355</v>
      </c>
    </row>
    <row r="175" spans="1:56" ht="40.5" customHeight="1" x14ac:dyDescent="0.25">
      <c r="A175" s="7" t="s">
        <v>58</v>
      </c>
      <c r="B175" s="2" t="s">
        <v>2356</v>
      </c>
      <c r="C175" s="2" t="s">
        <v>2357</v>
      </c>
      <c r="D175" s="2" t="s">
        <v>2358</v>
      </c>
      <c r="F175" s="3" t="s">
        <v>58</v>
      </c>
      <c r="G175" s="3" t="s">
        <v>59</v>
      </c>
      <c r="H175" s="3" t="s">
        <v>58</v>
      </c>
      <c r="I175" s="3" t="s">
        <v>58</v>
      </c>
      <c r="J175" s="3" t="s">
        <v>60</v>
      </c>
      <c r="K175" s="2" t="s">
        <v>2359</v>
      </c>
      <c r="L175" s="2" t="s">
        <v>2360</v>
      </c>
      <c r="M175" s="3" t="s">
        <v>1358</v>
      </c>
      <c r="O175" s="3" t="s">
        <v>65</v>
      </c>
      <c r="P175" s="3" t="s">
        <v>66</v>
      </c>
      <c r="R175" s="3" t="s">
        <v>1602</v>
      </c>
      <c r="S175" s="4">
        <v>1</v>
      </c>
      <c r="T175" s="4">
        <v>1</v>
      </c>
      <c r="U175" s="5" t="s">
        <v>2361</v>
      </c>
      <c r="V175" s="5" t="s">
        <v>2361</v>
      </c>
      <c r="W175" s="5" t="s">
        <v>1619</v>
      </c>
      <c r="X175" s="5" t="s">
        <v>1619</v>
      </c>
      <c r="Y175" s="4">
        <v>442</v>
      </c>
      <c r="Z175" s="4">
        <v>363</v>
      </c>
      <c r="AA175" s="4">
        <v>373</v>
      </c>
      <c r="AB175" s="4">
        <v>4</v>
      </c>
      <c r="AC175" s="4">
        <v>4</v>
      </c>
      <c r="AD175" s="4">
        <v>23</v>
      </c>
      <c r="AE175" s="4">
        <v>23</v>
      </c>
      <c r="AF175" s="4">
        <v>6</v>
      </c>
      <c r="AG175" s="4">
        <v>6</v>
      </c>
      <c r="AH175" s="4">
        <v>5</v>
      </c>
      <c r="AI175" s="4">
        <v>5</v>
      </c>
      <c r="AJ175" s="4">
        <v>14</v>
      </c>
      <c r="AK175" s="4">
        <v>14</v>
      </c>
      <c r="AL175" s="4">
        <v>3</v>
      </c>
      <c r="AM175" s="4">
        <v>3</v>
      </c>
      <c r="AN175" s="4">
        <v>0</v>
      </c>
      <c r="AO175" s="4">
        <v>0</v>
      </c>
      <c r="AP175" s="3" t="s">
        <v>58</v>
      </c>
      <c r="AQ175" s="3" t="s">
        <v>80</v>
      </c>
      <c r="AR175" s="6" t="str">
        <f>HYPERLINK("http://catalog.hathitrust.org/Record/000971116","HathiTrust Record")</f>
        <v>HathiTrust Record</v>
      </c>
      <c r="AS175" s="6" t="str">
        <f>HYPERLINK("https://creighton-primo.hosted.exlibrisgroup.com/primo-explore/search?tab=default_tab&amp;search_scope=EVERYTHING&amp;vid=01CRU&amp;lang=en_US&amp;offset=0&amp;query=any,contains,991001953269702656","Catalog Record")</f>
        <v>Catalog Record</v>
      </c>
      <c r="AT175" s="6" t="str">
        <f>HYPERLINK("http://www.worldcat.org/oclc/252839","WorldCat Record")</f>
        <v>WorldCat Record</v>
      </c>
      <c r="AU175" s="3" t="s">
        <v>2362</v>
      </c>
      <c r="AV175" s="3" t="s">
        <v>2363</v>
      </c>
      <c r="AW175" s="3" t="s">
        <v>2364</v>
      </c>
      <c r="AX175" s="3" t="s">
        <v>2364</v>
      </c>
      <c r="AY175" s="3" t="s">
        <v>2365</v>
      </c>
      <c r="AZ175" s="3" t="s">
        <v>74</v>
      </c>
      <c r="BC175" s="3" t="s">
        <v>2366</v>
      </c>
      <c r="BD175" s="3" t="s">
        <v>2367</v>
      </c>
    </row>
    <row r="176" spans="1:56" ht="40.5" customHeight="1" x14ac:dyDescent="0.25">
      <c r="A176" s="7" t="s">
        <v>58</v>
      </c>
      <c r="B176" s="2" t="s">
        <v>2368</v>
      </c>
      <c r="C176" s="2" t="s">
        <v>2369</v>
      </c>
      <c r="D176" s="2" t="s">
        <v>2370</v>
      </c>
      <c r="F176" s="3" t="s">
        <v>58</v>
      </c>
      <c r="G176" s="3" t="s">
        <v>59</v>
      </c>
      <c r="H176" s="3" t="s">
        <v>58</v>
      </c>
      <c r="I176" s="3" t="s">
        <v>58</v>
      </c>
      <c r="J176" s="3" t="s">
        <v>60</v>
      </c>
      <c r="K176" s="2" t="s">
        <v>2371</v>
      </c>
      <c r="L176" s="2" t="s">
        <v>2372</v>
      </c>
      <c r="M176" s="3" t="s">
        <v>1213</v>
      </c>
      <c r="O176" s="3" t="s">
        <v>65</v>
      </c>
      <c r="P176" s="3" t="s">
        <v>66</v>
      </c>
      <c r="R176" s="3" t="s">
        <v>1602</v>
      </c>
      <c r="S176" s="4">
        <v>1</v>
      </c>
      <c r="T176" s="4">
        <v>1</v>
      </c>
      <c r="U176" s="5" t="s">
        <v>2373</v>
      </c>
      <c r="V176" s="5" t="s">
        <v>2373</v>
      </c>
      <c r="W176" s="5" t="s">
        <v>2373</v>
      </c>
      <c r="X176" s="5" t="s">
        <v>2373</v>
      </c>
      <c r="Y176" s="4">
        <v>1087</v>
      </c>
      <c r="Z176" s="4">
        <v>1000</v>
      </c>
      <c r="AA176" s="4">
        <v>1074</v>
      </c>
      <c r="AB176" s="4">
        <v>8</v>
      </c>
      <c r="AC176" s="4">
        <v>8</v>
      </c>
      <c r="AD176" s="4">
        <v>33</v>
      </c>
      <c r="AE176" s="4">
        <v>33</v>
      </c>
      <c r="AF176" s="4">
        <v>13</v>
      </c>
      <c r="AG176" s="4">
        <v>13</v>
      </c>
      <c r="AH176" s="4">
        <v>5</v>
      </c>
      <c r="AI176" s="4">
        <v>5</v>
      </c>
      <c r="AJ176" s="4">
        <v>16</v>
      </c>
      <c r="AK176" s="4">
        <v>16</v>
      </c>
      <c r="AL176" s="4">
        <v>5</v>
      </c>
      <c r="AM176" s="4">
        <v>5</v>
      </c>
      <c r="AN176" s="4">
        <v>2</v>
      </c>
      <c r="AO176" s="4">
        <v>2</v>
      </c>
      <c r="AP176" s="3" t="s">
        <v>58</v>
      </c>
      <c r="AQ176" s="3" t="s">
        <v>58</v>
      </c>
      <c r="AS176" s="6" t="str">
        <f>HYPERLINK("https://creighton-primo.hosted.exlibrisgroup.com/primo-explore/search?tab=default_tab&amp;search_scope=EVERYTHING&amp;vid=01CRU&amp;lang=en_US&amp;offset=0&amp;query=any,contains,991004219579702656","Catalog Record")</f>
        <v>Catalog Record</v>
      </c>
      <c r="AT176" s="6" t="str">
        <f>HYPERLINK("http://www.worldcat.org/oclc/52127817","WorldCat Record")</f>
        <v>WorldCat Record</v>
      </c>
      <c r="AU176" s="3" t="s">
        <v>2374</v>
      </c>
      <c r="AV176" s="3" t="s">
        <v>2375</v>
      </c>
      <c r="AW176" s="3" t="s">
        <v>2376</v>
      </c>
      <c r="AX176" s="3" t="s">
        <v>2376</v>
      </c>
      <c r="AY176" s="3" t="s">
        <v>2377</v>
      </c>
      <c r="AZ176" s="3" t="s">
        <v>74</v>
      </c>
      <c r="BB176" s="3" t="s">
        <v>2378</v>
      </c>
      <c r="BC176" s="3" t="s">
        <v>2379</v>
      </c>
      <c r="BD176" s="3" t="s">
        <v>2380</v>
      </c>
    </row>
    <row r="177" spans="1:56" ht="40.5" customHeight="1" x14ac:dyDescent="0.25">
      <c r="A177" s="7" t="s">
        <v>58</v>
      </c>
      <c r="B177" s="2" t="s">
        <v>2381</v>
      </c>
      <c r="C177" s="2" t="s">
        <v>2382</v>
      </c>
      <c r="D177" s="2" t="s">
        <v>2383</v>
      </c>
      <c r="F177" s="3" t="s">
        <v>58</v>
      </c>
      <c r="G177" s="3" t="s">
        <v>59</v>
      </c>
      <c r="H177" s="3" t="s">
        <v>58</v>
      </c>
      <c r="I177" s="3" t="s">
        <v>58</v>
      </c>
      <c r="J177" s="3" t="s">
        <v>60</v>
      </c>
      <c r="K177" s="2" t="s">
        <v>2384</v>
      </c>
      <c r="L177" s="2" t="s">
        <v>2385</v>
      </c>
      <c r="M177" s="3" t="s">
        <v>615</v>
      </c>
      <c r="O177" s="3" t="s">
        <v>65</v>
      </c>
      <c r="P177" s="3" t="s">
        <v>169</v>
      </c>
      <c r="R177" s="3" t="s">
        <v>1602</v>
      </c>
      <c r="S177" s="4">
        <v>1</v>
      </c>
      <c r="T177" s="4">
        <v>1</v>
      </c>
      <c r="U177" s="5" t="s">
        <v>2386</v>
      </c>
      <c r="V177" s="5" t="s">
        <v>2386</v>
      </c>
      <c r="W177" s="5" t="s">
        <v>1086</v>
      </c>
      <c r="X177" s="5" t="s">
        <v>1086</v>
      </c>
      <c r="Y177" s="4">
        <v>481</v>
      </c>
      <c r="Z177" s="4">
        <v>440</v>
      </c>
      <c r="AA177" s="4">
        <v>447</v>
      </c>
      <c r="AB177" s="4">
        <v>4</v>
      </c>
      <c r="AC177" s="4">
        <v>4</v>
      </c>
      <c r="AD177" s="4">
        <v>20</v>
      </c>
      <c r="AE177" s="4">
        <v>20</v>
      </c>
      <c r="AF177" s="4">
        <v>5</v>
      </c>
      <c r="AG177" s="4">
        <v>5</v>
      </c>
      <c r="AH177" s="4">
        <v>5</v>
      </c>
      <c r="AI177" s="4">
        <v>5</v>
      </c>
      <c r="AJ177" s="4">
        <v>12</v>
      </c>
      <c r="AK177" s="4">
        <v>12</v>
      </c>
      <c r="AL177" s="4">
        <v>3</v>
      </c>
      <c r="AM177" s="4">
        <v>3</v>
      </c>
      <c r="AN177" s="4">
        <v>1</v>
      </c>
      <c r="AO177" s="4">
        <v>1</v>
      </c>
      <c r="AP177" s="3" t="s">
        <v>58</v>
      </c>
      <c r="AQ177" s="3" t="s">
        <v>80</v>
      </c>
      <c r="AR177" s="6" t="str">
        <f>HYPERLINK("http://catalog.hathitrust.org/Record/000201840","HathiTrust Record")</f>
        <v>HathiTrust Record</v>
      </c>
      <c r="AS177" s="6" t="str">
        <f>HYPERLINK("https://creighton-primo.hosted.exlibrisgroup.com/primo-explore/search?tab=default_tab&amp;search_scope=EVERYTHING&amp;vid=01CRU&amp;lang=en_US&amp;offset=0&amp;query=any,contains,991000268299702656","Catalog Record")</f>
        <v>Catalog Record</v>
      </c>
      <c r="AT177" s="6" t="str">
        <f>HYPERLINK("http://www.worldcat.org/oclc/9804422","WorldCat Record")</f>
        <v>WorldCat Record</v>
      </c>
      <c r="AU177" s="3" t="s">
        <v>2387</v>
      </c>
      <c r="AV177" s="3" t="s">
        <v>2388</v>
      </c>
      <c r="AW177" s="3" t="s">
        <v>2389</v>
      </c>
      <c r="AX177" s="3" t="s">
        <v>2389</v>
      </c>
      <c r="AY177" s="3" t="s">
        <v>2390</v>
      </c>
      <c r="AZ177" s="3" t="s">
        <v>74</v>
      </c>
      <c r="BB177" s="3" t="s">
        <v>2391</v>
      </c>
      <c r="BC177" s="3" t="s">
        <v>2392</v>
      </c>
      <c r="BD177" s="3" t="s">
        <v>2393</v>
      </c>
    </row>
    <row r="178" spans="1:56" ht="40.5" customHeight="1" x14ac:dyDescent="0.25">
      <c r="A178" s="7" t="s">
        <v>58</v>
      </c>
      <c r="B178" s="2" t="s">
        <v>2394</v>
      </c>
      <c r="C178" s="2" t="s">
        <v>2395</v>
      </c>
      <c r="D178" s="2" t="s">
        <v>2396</v>
      </c>
      <c r="F178" s="3" t="s">
        <v>58</v>
      </c>
      <c r="G178" s="3" t="s">
        <v>59</v>
      </c>
      <c r="H178" s="3" t="s">
        <v>58</v>
      </c>
      <c r="I178" s="3" t="s">
        <v>58</v>
      </c>
      <c r="J178" s="3" t="s">
        <v>60</v>
      </c>
      <c r="L178" s="2" t="s">
        <v>2397</v>
      </c>
      <c r="M178" s="3" t="s">
        <v>646</v>
      </c>
      <c r="O178" s="3" t="s">
        <v>65</v>
      </c>
      <c r="P178" s="3" t="s">
        <v>66</v>
      </c>
      <c r="R178" s="3" t="s">
        <v>1602</v>
      </c>
      <c r="S178" s="4">
        <v>1</v>
      </c>
      <c r="T178" s="4">
        <v>1</v>
      </c>
      <c r="U178" s="5" t="s">
        <v>2398</v>
      </c>
      <c r="V178" s="5" t="s">
        <v>2398</v>
      </c>
      <c r="W178" s="5" t="s">
        <v>1619</v>
      </c>
      <c r="X178" s="5" t="s">
        <v>1619</v>
      </c>
      <c r="Y178" s="4">
        <v>233</v>
      </c>
      <c r="Z178" s="4">
        <v>212</v>
      </c>
      <c r="AA178" s="4">
        <v>218</v>
      </c>
      <c r="AB178" s="4">
        <v>1</v>
      </c>
      <c r="AC178" s="4">
        <v>1</v>
      </c>
      <c r="AD178" s="4">
        <v>11</v>
      </c>
      <c r="AE178" s="4">
        <v>11</v>
      </c>
      <c r="AF178" s="4">
        <v>3</v>
      </c>
      <c r="AG178" s="4">
        <v>3</v>
      </c>
      <c r="AH178" s="4">
        <v>3</v>
      </c>
      <c r="AI178" s="4">
        <v>3</v>
      </c>
      <c r="AJ178" s="4">
        <v>5</v>
      </c>
      <c r="AK178" s="4">
        <v>5</v>
      </c>
      <c r="AL178" s="4">
        <v>0</v>
      </c>
      <c r="AM178" s="4">
        <v>0</v>
      </c>
      <c r="AN178" s="4">
        <v>2</v>
      </c>
      <c r="AO178" s="4">
        <v>2</v>
      </c>
      <c r="AP178" s="3" t="s">
        <v>58</v>
      </c>
      <c r="AQ178" s="3" t="s">
        <v>80</v>
      </c>
      <c r="AR178" s="6" t="str">
        <f>HYPERLINK("http://catalog.hathitrust.org/Record/003053837","HathiTrust Record")</f>
        <v>HathiTrust Record</v>
      </c>
      <c r="AS178" s="6" t="str">
        <f>HYPERLINK("https://creighton-primo.hosted.exlibrisgroup.com/primo-explore/search?tab=default_tab&amp;search_scope=EVERYTHING&amp;vid=01CRU&amp;lang=en_US&amp;offset=0&amp;query=any,contains,991003785909702656","Catalog Record")</f>
        <v>Catalog Record</v>
      </c>
      <c r="AT178" s="6" t="str">
        <f>HYPERLINK("http://www.worldcat.org/oclc/1502007","WorldCat Record")</f>
        <v>WorldCat Record</v>
      </c>
      <c r="AU178" s="3" t="s">
        <v>2399</v>
      </c>
      <c r="AV178" s="3" t="s">
        <v>2400</v>
      </c>
      <c r="AW178" s="3" t="s">
        <v>2401</v>
      </c>
      <c r="AX178" s="3" t="s">
        <v>2401</v>
      </c>
      <c r="AY178" s="3" t="s">
        <v>2402</v>
      </c>
      <c r="AZ178" s="3" t="s">
        <v>74</v>
      </c>
      <c r="BB178" s="3" t="s">
        <v>2403</v>
      </c>
      <c r="BC178" s="3" t="s">
        <v>2404</v>
      </c>
      <c r="BD178" s="3" t="s">
        <v>2405</v>
      </c>
    </row>
    <row r="179" spans="1:56" ht="40.5" customHeight="1" x14ac:dyDescent="0.25">
      <c r="A179" s="7" t="s">
        <v>58</v>
      </c>
      <c r="B179" s="2" t="s">
        <v>2406</v>
      </c>
      <c r="C179" s="2" t="s">
        <v>2407</v>
      </c>
      <c r="D179" s="2" t="s">
        <v>2408</v>
      </c>
      <c r="F179" s="3" t="s">
        <v>58</v>
      </c>
      <c r="G179" s="3" t="s">
        <v>59</v>
      </c>
      <c r="H179" s="3" t="s">
        <v>58</v>
      </c>
      <c r="I179" s="3" t="s">
        <v>58</v>
      </c>
      <c r="J179" s="3" t="s">
        <v>60</v>
      </c>
      <c r="K179" s="2" t="s">
        <v>2409</v>
      </c>
      <c r="L179" s="2" t="s">
        <v>2410</v>
      </c>
      <c r="M179" s="3" t="s">
        <v>839</v>
      </c>
      <c r="O179" s="3" t="s">
        <v>65</v>
      </c>
      <c r="P179" s="3" t="s">
        <v>214</v>
      </c>
      <c r="Q179" s="2" t="s">
        <v>2411</v>
      </c>
      <c r="R179" s="3" t="s">
        <v>1602</v>
      </c>
      <c r="S179" s="4">
        <v>1</v>
      </c>
      <c r="T179" s="4">
        <v>1</v>
      </c>
      <c r="U179" s="5" t="s">
        <v>2412</v>
      </c>
      <c r="V179" s="5" t="s">
        <v>2412</v>
      </c>
      <c r="W179" s="5" t="s">
        <v>1619</v>
      </c>
      <c r="X179" s="5" t="s">
        <v>1619</v>
      </c>
      <c r="Y179" s="4">
        <v>366</v>
      </c>
      <c r="Z179" s="4">
        <v>305</v>
      </c>
      <c r="AA179" s="4">
        <v>311</v>
      </c>
      <c r="AB179" s="4">
        <v>4</v>
      </c>
      <c r="AC179" s="4">
        <v>4</v>
      </c>
      <c r="AD179" s="4">
        <v>17</v>
      </c>
      <c r="AE179" s="4">
        <v>17</v>
      </c>
      <c r="AF179" s="4">
        <v>3</v>
      </c>
      <c r="AG179" s="4">
        <v>3</v>
      </c>
      <c r="AH179" s="4">
        <v>5</v>
      </c>
      <c r="AI179" s="4">
        <v>5</v>
      </c>
      <c r="AJ179" s="4">
        <v>11</v>
      </c>
      <c r="AK179" s="4">
        <v>11</v>
      </c>
      <c r="AL179" s="4">
        <v>3</v>
      </c>
      <c r="AM179" s="4">
        <v>3</v>
      </c>
      <c r="AN179" s="4">
        <v>0</v>
      </c>
      <c r="AO179" s="4">
        <v>0</v>
      </c>
      <c r="AP179" s="3" t="s">
        <v>58</v>
      </c>
      <c r="AQ179" s="3" t="s">
        <v>58</v>
      </c>
      <c r="AS179" s="6" t="str">
        <f>HYPERLINK("https://creighton-primo.hosted.exlibrisgroup.com/primo-explore/search?tab=default_tab&amp;search_scope=EVERYTHING&amp;vid=01CRU&amp;lang=en_US&amp;offset=0&amp;query=any,contains,991001959559702656","Catalog Record")</f>
        <v>Catalog Record</v>
      </c>
      <c r="AT179" s="6" t="str">
        <f>HYPERLINK("http://www.worldcat.org/oclc/253307","WorldCat Record")</f>
        <v>WorldCat Record</v>
      </c>
      <c r="AU179" s="3" t="s">
        <v>2413</v>
      </c>
      <c r="AV179" s="3" t="s">
        <v>2414</v>
      </c>
      <c r="AW179" s="3" t="s">
        <v>2415</v>
      </c>
      <c r="AX179" s="3" t="s">
        <v>2415</v>
      </c>
      <c r="AY179" s="3" t="s">
        <v>2416</v>
      </c>
      <c r="AZ179" s="3" t="s">
        <v>74</v>
      </c>
      <c r="BC179" s="3" t="s">
        <v>2417</v>
      </c>
      <c r="BD179" s="3" t="s">
        <v>2418</v>
      </c>
    </row>
    <row r="180" spans="1:56" ht="40.5" customHeight="1" x14ac:dyDescent="0.25">
      <c r="A180" s="7" t="s">
        <v>58</v>
      </c>
      <c r="B180" s="2" t="s">
        <v>2419</v>
      </c>
      <c r="C180" s="2" t="s">
        <v>2420</v>
      </c>
      <c r="D180" s="2" t="s">
        <v>2421</v>
      </c>
      <c r="F180" s="3" t="s">
        <v>58</v>
      </c>
      <c r="G180" s="3" t="s">
        <v>59</v>
      </c>
      <c r="H180" s="3" t="s">
        <v>58</v>
      </c>
      <c r="I180" s="3" t="s">
        <v>58</v>
      </c>
      <c r="J180" s="3" t="s">
        <v>60</v>
      </c>
      <c r="L180" s="2" t="s">
        <v>2347</v>
      </c>
      <c r="M180" s="3" t="s">
        <v>1926</v>
      </c>
      <c r="O180" s="3" t="s">
        <v>65</v>
      </c>
      <c r="P180" s="3" t="s">
        <v>112</v>
      </c>
      <c r="R180" s="3" t="s">
        <v>1602</v>
      </c>
      <c r="S180" s="4">
        <v>1</v>
      </c>
      <c r="T180" s="4">
        <v>1</v>
      </c>
      <c r="U180" s="5" t="s">
        <v>2422</v>
      </c>
      <c r="V180" s="5" t="s">
        <v>2422</v>
      </c>
      <c r="W180" s="5" t="s">
        <v>1086</v>
      </c>
      <c r="X180" s="5" t="s">
        <v>1086</v>
      </c>
      <c r="Y180" s="4">
        <v>218</v>
      </c>
      <c r="Z180" s="4">
        <v>199</v>
      </c>
      <c r="AA180" s="4">
        <v>202</v>
      </c>
      <c r="AB180" s="4">
        <v>2</v>
      </c>
      <c r="AC180" s="4">
        <v>2</v>
      </c>
      <c r="AD180" s="4">
        <v>5</v>
      </c>
      <c r="AE180" s="4">
        <v>5</v>
      </c>
      <c r="AF180" s="4">
        <v>1</v>
      </c>
      <c r="AG180" s="4">
        <v>1</v>
      </c>
      <c r="AH180" s="4">
        <v>0</v>
      </c>
      <c r="AI180" s="4">
        <v>0</v>
      </c>
      <c r="AJ180" s="4">
        <v>4</v>
      </c>
      <c r="AK180" s="4">
        <v>4</v>
      </c>
      <c r="AL180" s="4">
        <v>1</v>
      </c>
      <c r="AM180" s="4">
        <v>1</v>
      </c>
      <c r="AN180" s="4">
        <v>0</v>
      </c>
      <c r="AO180" s="4">
        <v>0</v>
      </c>
      <c r="AP180" s="3" t="s">
        <v>58</v>
      </c>
      <c r="AQ180" s="3" t="s">
        <v>58</v>
      </c>
      <c r="AS180" s="6" t="str">
        <f>HYPERLINK("https://creighton-primo.hosted.exlibrisgroup.com/primo-explore/search?tab=default_tab&amp;search_scope=EVERYTHING&amp;vid=01CRU&amp;lang=en_US&amp;offset=0&amp;query=any,contains,991004865299702656","Catalog Record")</f>
        <v>Catalog Record</v>
      </c>
      <c r="AT180" s="6" t="str">
        <f>HYPERLINK("http://www.worldcat.org/oclc/5726610","WorldCat Record")</f>
        <v>WorldCat Record</v>
      </c>
      <c r="AU180" s="3" t="s">
        <v>2423</v>
      </c>
      <c r="AV180" s="3" t="s">
        <v>2424</v>
      </c>
      <c r="AW180" s="3" t="s">
        <v>2425</v>
      </c>
      <c r="AX180" s="3" t="s">
        <v>2425</v>
      </c>
      <c r="AY180" s="3" t="s">
        <v>2426</v>
      </c>
      <c r="AZ180" s="3" t="s">
        <v>74</v>
      </c>
      <c r="BB180" s="3" t="s">
        <v>2427</v>
      </c>
      <c r="BC180" s="3" t="s">
        <v>2428</v>
      </c>
      <c r="BD180" s="3" t="s">
        <v>2429</v>
      </c>
    </row>
    <row r="181" spans="1:56" ht="40.5" customHeight="1" x14ac:dyDescent="0.25">
      <c r="A181" s="7" t="s">
        <v>58</v>
      </c>
      <c r="B181" s="2" t="s">
        <v>2430</v>
      </c>
      <c r="C181" s="2" t="s">
        <v>2431</v>
      </c>
      <c r="D181" s="2" t="s">
        <v>2432</v>
      </c>
      <c r="F181" s="3" t="s">
        <v>58</v>
      </c>
      <c r="G181" s="3" t="s">
        <v>59</v>
      </c>
      <c r="H181" s="3" t="s">
        <v>58</v>
      </c>
      <c r="I181" s="3" t="s">
        <v>58</v>
      </c>
      <c r="J181" s="3" t="s">
        <v>60</v>
      </c>
      <c r="K181" s="2" t="s">
        <v>2433</v>
      </c>
      <c r="L181" s="2" t="s">
        <v>2434</v>
      </c>
      <c r="M181" s="3" t="s">
        <v>1114</v>
      </c>
      <c r="O181" s="3" t="s">
        <v>65</v>
      </c>
      <c r="P181" s="3" t="s">
        <v>169</v>
      </c>
      <c r="R181" s="3" t="s">
        <v>1602</v>
      </c>
      <c r="S181" s="4">
        <v>1</v>
      </c>
      <c r="T181" s="4">
        <v>1</v>
      </c>
      <c r="U181" s="5" t="s">
        <v>2435</v>
      </c>
      <c r="V181" s="5" t="s">
        <v>2435</v>
      </c>
      <c r="W181" s="5" t="s">
        <v>1245</v>
      </c>
      <c r="X181" s="5" t="s">
        <v>1245</v>
      </c>
      <c r="Y181" s="4">
        <v>1269</v>
      </c>
      <c r="Z181" s="4">
        <v>1130</v>
      </c>
      <c r="AA181" s="4">
        <v>1772</v>
      </c>
      <c r="AB181" s="4">
        <v>9</v>
      </c>
      <c r="AC181" s="4">
        <v>11</v>
      </c>
      <c r="AD181" s="4">
        <v>51</v>
      </c>
      <c r="AE181" s="4">
        <v>56</v>
      </c>
      <c r="AF181" s="4">
        <v>21</v>
      </c>
      <c r="AG181" s="4">
        <v>25</v>
      </c>
      <c r="AH181" s="4">
        <v>10</v>
      </c>
      <c r="AI181" s="4">
        <v>10</v>
      </c>
      <c r="AJ181" s="4">
        <v>21</v>
      </c>
      <c r="AK181" s="4">
        <v>21</v>
      </c>
      <c r="AL181" s="4">
        <v>8</v>
      </c>
      <c r="AM181" s="4">
        <v>9</v>
      </c>
      <c r="AN181" s="4">
        <v>4</v>
      </c>
      <c r="AO181" s="4">
        <v>4</v>
      </c>
      <c r="AP181" s="3" t="s">
        <v>58</v>
      </c>
      <c r="AQ181" s="3" t="s">
        <v>58</v>
      </c>
      <c r="AS181" s="6" t="str">
        <f>HYPERLINK("https://creighton-primo.hosted.exlibrisgroup.com/primo-explore/search?tab=default_tab&amp;search_scope=EVERYTHING&amp;vid=01CRU&amp;lang=en_US&amp;offset=0&amp;query=any,contains,991002029149702656","Catalog Record")</f>
        <v>Catalog Record</v>
      </c>
      <c r="AT181" s="6" t="str">
        <f>HYPERLINK("http://www.worldcat.org/oclc/25832693","WorldCat Record")</f>
        <v>WorldCat Record</v>
      </c>
      <c r="AU181" s="3" t="s">
        <v>2436</v>
      </c>
      <c r="AV181" s="3" t="s">
        <v>2437</v>
      </c>
      <c r="AW181" s="3" t="s">
        <v>2438</v>
      </c>
      <c r="AX181" s="3" t="s">
        <v>2438</v>
      </c>
      <c r="AY181" s="3" t="s">
        <v>2439</v>
      </c>
      <c r="AZ181" s="3" t="s">
        <v>74</v>
      </c>
      <c r="BB181" s="3" t="s">
        <v>2440</v>
      </c>
      <c r="BC181" s="3" t="s">
        <v>2441</v>
      </c>
      <c r="BD181" s="3" t="s">
        <v>2442</v>
      </c>
    </row>
    <row r="182" spans="1:56" ht="40.5" customHeight="1" x14ac:dyDescent="0.25">
      <c r="A182" s="7" t="s">
        <v>58</v>
      </c>
      <c r="B182" s="2" t="s">
        <v>2443</v>
      </c>
      <c r="C182" s="2" t="s">
        <v>2444</v>
      </c>
      <c r="D182" s="2" t="s">
        <v>2445</v>
      </c>
      <c r="F182" s="3" t="s">
        <v>58</v>
      </c>
      <c r="G182" s="3" t="s">
        <v>59</v>
      </c>
      <c r="H182" s="3" t="s">
        <v>80</v>
      </c>
      <c r="I182" s="3" t="s">
        <v>58</v>
      </c>
      <c r="J182" s="3" t="s">
        <v>60</v>
      </c>
      <c r="K182" s="2" t="s">
        <v>2446</v>
      </c>
      <c r="L182" s="2" t="s">
        <v>2207</v>
      </c>
      <c r="M182" s="3" t="s">
        <v>646</v>
      </c>
      <c r="O182" s="3" t="s">
        <v>65</v>
      </c>
      <c r="P182" s="3" t="s">
        <v>169</v>
      </c>
      <c r="Q182" s="2" t="s">
        <v>2049</v>
      </c>
      <c r="R182" s="3" t="s">
        <v>1602</v>
      </c>
      <c r="S182" s="4">
        <v>0</v>
      </c>
      <c r="T182" s="4">
        <v>3</v>
      </c>
      <c r="V182" s="5" t="s">
        <v>2447</v>
      </c>
      <c r="W182" s="5" t="s">
        <v>1619</v>
      </c>
      <c r="X182" s="5" t="s">
        <v>1619</v>
      </c>
      <c r="Y182" s="4">
        <v>1032</v>
      </c>
      <c r="Z182" s="4">
        <v>905</v>
      </c>
      <c r="AA182" s="4">
        <v>911</v>
      </c>
      <c r="AB182" s="4">
        <v>8</v>
      </c>
      <c r="AC182" s="4">
        <v>8</v>
      </c>
      <c r="AD182" s="4">
        <v>46</v>
      </c>
      <c r="AE182" s="4">
        <v>46</v>
      </c>
      <c r="AF182" s="4">
        <v>14</v>
      </c>
      <c r="AG182" s="4">
        <v>14</v>
      </c>
      <c r="AH182" s="4">
        <v>6</v>
      </c>
      <c r="AI182" s="4">
        <v>6</v>
      </c>
      <c r="AJ182" s="4">
        <v>18</v>
      </c>
      <c r="AK182" s="4">
        <v>18</v>
      </c>
      <c r="AL182" s="4">
        <v>5</v>
      </c>
      <c r="AM182" s="4">
        <v>5</v>
      </c>
      <c r="AN182" s="4">
        <v>12</v>
      </c>
      <c r="AO182" s="4">
        <v>12</v>
      </c>
      <c r="AP182" s="3" t="s">
        <v>58</v>
      </c>
      <c r="AQ182" s="3" t="s">
        <v>80</v>
      </c>
      <c r="AR182" s="6" t="str">
        <f>HYPERLINK("http://catalog.hathitrust.org/Record/000037765","HathiTrust Record")</f>
        <v>HathiTrust Record</v>
      </c>
      <c r="AS182" s="6" t="str">
        <f>HYPERLINK("https://creighton-primo.hosted.exlibrisgroup.com/primo-explore/search?tab=default_tab&amp;search_scope=EVERYTHING&amp;vid=01CRU&amp;lang=en_US&amp;offset=0&amp;query=any,contains,991001719489702656","Catalog Record")</f>
        <v>Catalog Record</v>
      </c>
      <c r="AT182" s="6" t="str">
        <f>HYPERLINK("http://www.worldcat.org/oclc/1504973","WorldCat Record")</f>
        <v>WorldCat Record</v>
      </c>
      <c r="AU182" s="3" t="s">
        <v>2448</v>
      </c>
      <c r="AV182" s="3" t="s">
        <v>2449</v>
      </c>
      <c r="AW182" s="3" t="s">
        <v>2450</v>
      </c>
      <c r="AX182" s="3" t="s">
        <v>2450</v>
      </c>
      <c r="AY182" s="3" t="s">
        <v>2451</v>
      </c>
      <c r="AZ182" s="3" t="s">
        <v>74</v>
      </c>
      <c r="BB182" s="3" t="s">
        <v>2452</v>
      </c>
      <c r="BC182" s="3" t="s">
        <v>2453</v>
      </c>
      <c r="BD182" s="3" t="s">
        <v>2454</v>
      </c>
    </row>
    <row r="183" spans="1:56" ht="40.5" customHeight="1" x14ac:dyDescent="0.25">
      <c r="A183" s="7" t="s">
        <v>58</v>
      </c>
      <c r="B183" s="2" t="s">
        <v>2455</v>
      </c>
      <c r="C183" s="2" t="s">
        <v>2456</v>
      </c>
      <c r="D183" s="2" t="s">
        <v>2457</v>
      </c>
      <c r="F183" s="3" t="s">
        <v>58</v>
      </c>
      <c r="G183" s="3" t="s">
        <v>59</v>
      </c>
      <c r="H183" s="3" t="s">
        <v>58</v>
      </c>
      <c r="I183" s="3" t="s">
        <v>58</v>
      </c>
      <c r="J183" s="3" t="s">
        <v>60</v>
      </c>
      <c r="L183" s="2" t="s">
        <v>2458</v>
      </c>
      <c r="M183" s="3" t="s">
        <v>2459</v>
      </c>
      <c r="O183" s="3" t="s">
        <v>65</v>
      </c>
      <c r="P183" s="3" t="s">
        <v>169</v>
      </c>
      <c r="R183" s="3" t="s">
        <v>1602</v>
      </c>
      <c r="S183" s="4">
        <v>1</v>
      </c>
      <c r="T183" s="4">
        <v>1</v>
      </c>
      <c r="U183" s="5" t="s">
        <v>2460</v>
      </c>
      <c r="V183" s="5" t="s">
        <v>2460</v>
      </c>
      <c r="W183" s="5" t="s">
        <v>2461</v>
      </c>
      <c r="X183" s="5" t="s">
        <v>2461</v>
      </c>
      <c r="Y183" s="4">
        <v>174</v>
      </c>
      <c r="Z183" s="4">
        <v>171</v>
      </c>
      <c r="AA183" s="4">
        <v>171</v>
      </c>
      <c r="AB183" s="4">
        <v>3</v>
      </c>
      <c r="AC183" s="4">
        <v>3</v>
      </c>
      <c r="AD183" s="4">
        <v>9</v>
      </c>
      <c r="AE183" s="4">
        <v>9</v>
      </c>
      <c r="AF183" s="4">
        <v>5</v>
      </c>
      <c r="AG183" s="4">
        <v>5</v>
      </c>
      <c r="AH183" s="4">
        <v>1</v>
      </c>
      <c r="AI183" s="4">
        <v>1</v>
      </c>
      <c r="AJ183" s="4">
        <v>4</v>
      </c>
      <c r="AK183" s="4">
        <v>4</v>
      </c>
      <c r="AL183" s="4">
        <v>2</v>
      </c>
      <c r="AM183" s="4">
        <v>2</v>
      </c>
      <c r="AN183" s="4">
        <v>0</v>
      </c>
      <c r="AO183" s="4">
        <v>0</v>
      </c>
      <c r="AP183" s="3" t="s">
        <v>58</v>
      </c>
      <c r="AQ183" s="3" t="s">
        <v>58</v>
      </c>
      <c r="AS183" s="6" t="str">
        <f>HYPERLINK("https://creighton-primo.hosted.exlibrisgroup.com/primo-explore/search?tab=default_tab&amp;search_scope=EVERYTHING&amp;vid=01CRU&amp;lang=en_US&amp;offset=0&amp;query=any,contains,991002994059702656","Catalog Record")</f>
        <v>Catalog Record</v>
      </c>
      <c r="AT183" s="6" t="str">
        <f>HYPERLINK("http://www.worldcat.org/oclc/40455942","WorldCat Record")</f>
        <v>WorldCat Record</v>
      </c>
      <c r="AU183" s="3" t="s">
        <v>2462</v>
      </c>
      <c r="AV183" s="3" t="s">
        <v>2463</v>
      </c>
      <c r="AW183" s="3" t="s">
        <v>2464</v>
      </c>
      <c r="AX183" s="3" t="s">
        <v>2464</v>
      </c>
      <c r="AY183" s="3" t="s">
        <v>2465</v>
      </c>
      <c r="AZ183" s="3" t="s">
        <v>74</v>
      </c>
      <c r="BC183" s="3" t="s">
        <v>2466</v>
      </c>
      <c r="BD183" s="3" t="s">
        <v>2467</v>
      </c>
    </row>
    <row r="184" spans="1:56" ht="40.5" customHeight="1" x14ac:dyDescent="0.25">
      <c r="A184" s="7" t="s">
        <v>58</v>
      </c>
      <c r="B184" s="2" t="s">
        <v>2468</v>
      </c>
      <c r="C184" s="2" t="s">
        <v>2469</v>
      </c>
      <c r="D184" s="2" t="s">
        <v>2470</v>
      </c>
      <c r="F184" s="3" t="s">
        <v>58</v>
      </c>
      <c r="G184" s="3" t="s">
        <v>59</v>
      </c>
      <c r="H184" s="3" t="s">
        <v>58</v>
      </c>
      <c r="I184" s="3" t="s">
        <v>58</v>
      </c>
      <c r="J184" s="3" t="s">
        <v>60</v>
      </c>
      <c r="K184" s="2" t="s">
        <v>2471</v>
      </c>
      <c r="L184" s="2" t="s">
        <v>2472</v>
      </c>
      <c r="M184" s="3" t="s">
        <v>98</v>
      </c>
      <c r="O184" s="3" t="s">
        <v>65</v>
      </c>
      <c r="P184" s="3" t="s">
        <v>275</v>
      </c>
      <c r="R184" s="3" t="s">
        <v>1602</v>
      </c>
      <c r="S184" s="4">
        <v>1</v>
      </c>
      <c r="T184" s="4">
        <v>1</v>
      </c>
      <c r="U184" s="5" t="s">
        <v>2473</v>
      </c>
      <c r="V184" s="5" t="s">
        <v>2473</v>
      </c>
      <c r="W184" s="5" t="s">
        <v>2474</v>
      </c>
      <c r="X184" s="5" t="s">
        <v>2474</v>
      </c>
      <c r="Y184" s="4">
        <v>488</v>
      </c>
      <c r="Z184" s="4">
        <v>427</v>
      </c>
      <c r="AA184" s="4">
        <v>444</v>
      </c>
      <c r="AB184" s="4">
        <v>3</v>
      </c>
      <c r="AC184" s="4">
        <v>3</v>
      </c>
      <c r="AD184" s="4">
        <v>30</v>
      </c>
      <c r="AE184" s="4">
        <v>30</v>
      </c>
      <c r="AF184" s="4">
        <v>6</v>
      </c>
      <c r="AG184" s="4">
        <v>6</v>
      </c>
      <c r="AH184" s="4">
        <v>7</v>
      </c>
      <c r="AI184" s="4">
        <v>7</v>
      </c>
      <c r="AJ184" s="4">
        <v>11</v>
      </c>
      <c r="AK184" s="4">
        <v>11</v>
      </c>
      <c r="AL184" s="4">
        <v>2</v>
      </c>
      <c r="AM184" s="4">
        <v>2</v>
      </c>
      <c r="AN184" s="4">
        <v>10</v>
      </c>
      <c r="AO184" s="4">
        <v>10</v>
      </c>
      <c r="AP184" s="3" t="s">
        <v>58</v>
      </c>
      <c r="AQ184" s="3" t="s">
        <v>58</v>
      </c>
      <c r="AS184" s="6" t="str">
        <f>HYPERLINK("https://creighton-primo.hosted.exlibrisgroup.com/primo-explore/search?tab=default_tab&amp;search_scope=EVERYTHING&amp;vid=01CRU&amp;lang=en_US&amp;offset=0&amp;query=any,contains,991002309049702656","Catalog Record")</f>
        <v>Catalog Record</v>
      </c>
      <c r="AT184" s="6" t="str">
        <f>HYPERLINK("http://www.worldcat.org/oclc/29953473","WorldCat Record")</f>
        <v>WorldCat Record</v>
      </c>
      <c r="AU184" s="3" t="s">
        <v>2475</v>
      </c>
      <c r="AV184" s="3" t="s">
        <v>2476</v>
      </c>
      <c r="AW184" s="3" t="s">
        <v>2477</v>
      </c>
      <c r="AX184" s="3" t="s">
        <v>2477</v>
      </c>
      <c r="AY184" s="3" t="s">
        <v>2478</v>
      </c>
      <c r="AZ184" s="3" t="s">
        <v>74</v>
      </c>
      <c r="BB184" s="3" t="s">
        <v>2479</v>
      </c>
      <c r="BC184" s="3" t="s">
        <v>2480</v>
      </c>
      <c r="BD184" s="3" t="s">
        <v>2481</v>
      </c>
    </row>
    <row r="185" spans="1:56" ht="40.5" customHeight="1" x14ac:dyDescent="0.25">
      <c r="A185" s="7" t="s">
        <v>58</v>
      </c>
      <c r="B185" s="2" t="s">
        <v>2482</v>
      </c>
      <c r="C185" s="2" t="s">
        <v>2483</v>
      </c>
      <c r="D185" s="2" t="s">
        <v>2484</v>
      </c>
      <c r="F185" s="3" t="s">
        <v>58</v>
      </c>
      <c r="G185" s="3" t="s">
        <v>59</v>
      </c>
      <c r="H185" s="3" t="s">
        <v>58</v>
      </c>
      <c r="I185" s="3" t="s">
        <v>58</v>
      </c>
      <c r="J185" s="3" t="s">
        <v>60</v>
      </c>
      <c r="K185" s="2" t="s">
        <v>2485</v>
      </c>
      <c r="L185" s="2" t="s">
        <v>2486</v>
      </c>
      <c r="M185" s="3" t="s">
        <v>1227</v>
      </c>
      <c r="O185" s="3" t="s">
        <v>65</v>
      </c>
      <c r="P185" s="3" t="s">
        <v>169</v>
      </c>
      <c r="Q185" s="2" t="s">
        <v>2487</v>
      </c>
      <c r="R185" s="3" t="s">
        <v>1602</v>
      </c>
      <c r="S185" s="4">
        <v>1</v>
      </c>
      <c r="T185" s="4">
        <v>1</v>
      </c>
      <c r="U185" s="5" t="s">
        <v>2488</v>
      </c>
      <c r="V185" s="5" t="s">
        <v>2488</v>
      </c>
      <c r="W185" s="5" t="s">
        <v>2489</v>
      </c>
      <c r="X185" s="5" t="s">
        <v>2489</v>
      </c>
      <c r="Y185" s="4">
        <v>147</v>
      </c>
      <c r="Z185" s="4">
        <v>144</v>
      </c>
      <c r="AA185" s="4">
        <v>144</v>
      </c>
      <c r="AB185" s="4">
        <v>2</v>
      </c>
      <c r="AC185" s="4">
        <v>2</v>
      </c>
      <c r="AD185" s="4">
        <v>12</v>
      </c>
      <c r="AE185" s="4">
        <v>12</v>
      </c>
      <c r="AF185" s="4">
        <v>1</v>
      </c>
      <c r="AG185" s="4">
        <v>1</v>
      </c>
      <c r="AH185" s="4">
        <v>3</v>
      </c>
      <c r="AI185" s="4">
        <v>3</v>
      </c>
      <c r="AJ185" s="4">
        <v>3</v>
      </c>
      <c r="AK185" s="4">
        <v>3</v>
      </c>
      <c r="AL185" s="4">
        <v>1</v>
      </c>
      <c r="AM185" s="4">
        <v>1</v>
      </c>
      <c r="AN185" s="4">
        <v>6</v>
      </c>
      <c r="AO185" s="4">
        <v>6</v>
      </c>
      <c r="AP185" s="3" t="s">
        <v>58</v>
      </c>
      <c r="AQ185" s="3" t="s">
        <v>58</v>
      </c>
      <c r="AS185" s="6" t="str">
        <f>HYPERLINK("https://creighton-primo.hosted.exlibrisgroup.com/primo-explore/search?tab=default_tab&amp;search_scope=EVERYTHING&amp;vid=01CRU&amp;lang=en_US&amp;offset=0&amp;query=any,contains,991002559439702656","Catalog Record")</f>
        <v>Catalog Record</v>
      </c>
      <c r="AT185" s="6" t="str">
        <f>HYPERLINK("http://www.worldcat.org/oclc/33276004","WorldCat Record")</f>
        <v>WorldCat Record</v>
      </c>
      <c r="AU185" s="3" t="s">
        <v>2490</v>
      </c>
      <c r="AV185" s="3" t="s">
        <v>2491</v>
      </c>
      <c r="AW185" s="3" t="s">
        <v>2492</v>
      </c>
      <c r="AX185" s="3" t="s">
        <v>2492</v>
      </c>
      <c r="AY185" s="3" t="s">
        <v>2493</v>
      </c>
      <c r="AZ185" s="3" t="s">
        <v>74</v>
      </c>
      <c r="BB185" s="3" t="s">
        <v>2494</v>
      </c>
      <c r="BC185" s="3" t="s">
        <v>2495</v>
      </c>
      <c r="BD185" s="3" t="s">
        <v>2496</v>
      </c>
    </row>
    <row r="186" spans="1:56" ht="40.5" customHeight="1" x14ac:dyDescent="0.25">
      <c r="A186" s="7" t="s">
        <v>58</v>
      </c>
      <c r="B186" s="2" t="s">
        <v>2497</v>
      </c>
      <c r="C186" s="2" t="s">
        <v>2498</v>
      </c>
      <c r="D186" s="2" t="s">
        <v>2499</v>
      </c>
      <c r="F186" s="3" t="s">
        <v>58</v>
      </c>
      <c r="G186" s="3" t="s">
        <v>59</v>
      </c>
      <c r="H186" s="3" t="s">
        <v>58</v>
      </c>
      <c r="I186" s="3" t="s">
        <v>58</v>
      </c>
      <c r="J186" s="3" t="s">
        <v>60</v>
      </c>
      <c r="K186" s="2" t="s">
        <v>2500</v>
      </c>
      <c r="L186" s="2" t="s">
        <v>2501</v>
      </c>
      <c r="M186" s="3" t="s">
        <v>2311</v>
      </c>
      <c r="O186" s="3" t="s">
        <v>65</v>
      </c>
      <c r="P186" s="3" t="s">
        <v>66</v>
      </c>
      <c r="R186" s="3" t="s">
        <v>1602</v>
      </c>
      <c r="S186" s="4">
        <v>1</v>
      </c>
      <c r="T186" s="4">
        <v>1</v>
      </c>
      <c r="U186" s="5" t="s">
        <v>2502</v>
      </c>
      <c r="V186" s="5" t="s">
        <v>2502</v>
      </c>
      <c r="W186" s="5" t="s">
        <v>2502</v>
      </c>
      <c r="X186" s="5" t="s">
        <v>2502</v>
      </c>
      <c r="Y186" s="4">
        <v>30</v>
      </c>
      <c r="Z186" s="4">
        <v>28</v>
      </c>
      <c r="AA186" s="4">
        <v>281</v>
      </c>
      <c r="AB186" s="4">
        <v>1</v>
      </c>
      <c r="AC186" s="4">
        <v>3</v>
      </c>
      <c r="AD186" s="4">
        <v>3</v>
      </c>
      <c r="AE186" s="4">
        <v>19</v>
      </c>
      <c r="AF186" s="4">
        <v>1</v>
      </c>
      <c r="AG186" s="4">
        <v>5</v>
      </c>
      <c r="AH186" s="4">
        <v>0</v>
      </c>
      <c r="AI186" s="4">
        <v>3</v>
      </c>
      <c r="AJ186" s="4">
        <v>2</v>
      </c>
      <c r="AK186" s="4">
        <v>7</v>
      </c>
      <c r="AL186" s="4">
        <v>0</v>
      </c>
      <c r="AM186" s="4">
        <v>2</v>
      </c>
      <c r="AN186" s="4">
        <v>1</v>
      </c>
      <c r="AO186" s="4">
        <v>5</v>
      </c>
      <c r="AP186" s="3" t="s">
        <v>58</v>
      </c>
      <c r="AQ186" s="3" t="s">
        <v>58</v>
      </c>
      <c r="AS186" s="6" t="str">
        <f>HYPERLINK("https://creighton-primo.hosted.exlibrisgroup.com/primo-explore/search?tab=default_tab&amp;search_scope=EVERYTHING&amp;vid=01CRU&amp;lang=en_US&amp;offset=0&amp;query=any,contains,991004828799702656","Catalog Record")</f>
        <v>Catalog Record</v>
      </c>
      <c r="AT186" s="6" t="str">
        <f>HYPERLINK("http://www.worldcat.org/oclc/5383845","WorldCat Record")</f>
        <v>WorldCat Record</v>
      </c>
      <c r="AU186" s="3" t="s">
        <v>2503</v>
      </c>
      <c r="AV186" s="3" t="s">
        <v>2504</v>
      </c>
      <c r="AW186" s="3" t="s">
        <v>2505</v>
      </c>
      <c r="AX186" s="3" t="s">
        <v>2505</v>
      </c>
      <c r="AY186" s="3" t="s">
        <v>2506</v>
      </c>
      <c r="AZ186" s="3" t="s">
        <v>74</v>
      </c>
      <c r="BC186" s="3" t="s">
        <v>2507</v>
      </c>
      <c r="BD186" s="3" t="s">
        <v>2508</v>
      </c>
    </row>
    <row r="187" spans="1:56" ht="40.5" customHeight="1" x14ac:dyDescent="0.25">
      <c r="A187" s="7" t="s">
        <v>58</v>
      </c>
      <c r="B187" s="2" t="s">
        <v>2509</v>
      </c>
      <c r="C187" s="2" t="s">
        <v>2510</v>
      </c>
      <c r="D187" s="2" t="s">
        <v>2511</v>
      </c>
      <c r="F187" s="3" t="s">
        <v>58</v>
      </c>
      <c r="G187" s="3" t="s">
        <v>59</v>
      </c>
      <c r="H187" s="3" t="s">
        <v>80</v>
      </c>
      <c r="I187" s="3" t="s">
        <v>58</v>
      </c>
      <c r="J187" s="3" t="s">
        <v>60</v>
      </c>
      <c r="L187" s="2" t="s">
        <v>1969</v>
      </c>
      <c r="M187" s="3" t="s">
        <v>405</v>
      </c>
      <c r="O187" s="3" t="s">
        <v>65</v>
      </c>
      <c r="P187" s="3" t="s">
        <v>169</v>
      </c>
      <c r="Q187" s="2" t="s">
        <v>2049</v>
      </c>
      <c r="R187" s="3" t="s">
        <v>1602</v>
      </c>
      <c r="S187" s="4">
        <v>1</v>
      </c>
      <c r="T187" s="4">
        <v>1</v>
      </c>
      <c r="U187" s="5" t="s">
        <v>2488</v>
      </c>
      <c r="V187" s="5" t="s">
        <v>2488</v>
      </c>
      <c r="W187" s="5" t="s">
        <v>1619</v>
      </c>
      <c r="X187" s="5" t="s">
        <v>1619</v>
      </c>
      <c r="Y187" s="4">
        <v>752</v>
      </c>
      <c r="Z187" s="4">
        <v>652</v>
      </c>
      <c r="AA187" s="4">
        <v>660</v>
      </c>
      <c r="AB187" s="4">
        <v>5</v>
      </c>
      <c r="AC187" s="4">
        <v>5</v>
      </c>
      <c r="AD187" s="4">
        <v>38</v>
      </c>
      <c r="AE187" s="4">
        <v>39</v>
      </c>
      <c r="AF187" s="4">
        <v>11</v>
      </c>
      <c r="AG187" s="4">
        <v>11</v>
      </c>
      <c r="AH187" s="4">
        <v>7</v>
      </c>
      <c r="AI187" s="4">
        <v>7</v>
      </c>
      <c r="AJ187" s="4">
        <v>15</v>
      </c>
      <c r="AK187" s="4">
        <v>15</v>
      </c>
      <c r="AL187" s="4">
        <v>3</v>
      </c>
      <c r="AM187" s="4">
        <v>3</v>
      </c>
      <c r="AN187" s="4">
        <v>12</v>
      </c>
      <c r="AO187" s="4">
        <v>13</v>
      </c>
      <c r="AP187" s="3" t="s">
        <v>58</v>
      </c>
      <c r="AQ187" s="3" t="s">
        <v>80</v>
      </c>
      <c r="AR187" s="6" t="str">
        <f>HYPERLINK("http://catalog.hathitrust.org/Record/000292524","HathiTrust Record")</f>
        <v>HathiTrust Record</v>
      </c>
      <c r="AS187" s="6" t="str">
        <f>HYPERLINK("https://creighton-primo.hosted.exlibrisgroup.com/primo-explore/search?tab=default_tab&amp;search_scope=EVERYTHING&amp;vid=01CRU&amp;lang=en_US&amp;offset=0&amp;query=any,contains,991001779339702656","Catalog Record")</f>
        <v>Catalog Record</v>
      </c>
      <c r="AT187" s="6" t="str">
        <f>HYPERLINK("http://www.worldcat.org/oclc/3121042","WorldCat Record")</f>
        <v>WorldCat Record</v>
      </c>
      <c r="AU187" s="3" t="s">
        <v>2512</v>
      </c>
      <c r="AV187" s="3" t="s">
        <v>2513</v>
      </c>
      <c r="AW187" s="3" t="s">
        <v>2514</v>
      </c>
      <c r="AX187" s="3" t="s">
        <v>2514</v>
      </c>
      <c r="AY187" s="3" t="s">
        <v>2515</v>
      </c>
      <c r="AZ187" s="3" t="s">
        <v>74</v>
      </c>
      <c r="BB187" s="3" t="s">
        <v>2516</v>
      </c>
      <c r="BC187" s="3" t="s">
        <v>2517</v>
      </c>
      <c r="BD187" s="3" t="s">
        <v>2518</v>
      </c>
    </row>
    <row r="188" spans="1:56" ht="40.5" customHeight="1" x14ac:dyDescent="0.25">
      <c r="A188" s="7" t="s">
        <v>58</v>
      </c>
      <c r="B188" s="2" t="s">
        <v>2519</v>
      </c>
      <c r="C188" s="2" t="s">
        <v>2520</v>
      </c>
      <c r="D188" s="2" t="s">
        <v>2521</v>
      </c>
      <c r="F188" s="3" t="s">
        <v>58</v>
      </c>
      <c r="G188" s="3" t="s">
        <v>59</v>
      </c>
      <c r="H188" s="3" t="s">
        <v>58</v>
      </c>
      <c r="I188" s="3" t="s">
        <v>58</v>
      </c>
      <c r="J188" s="3" t="s">
        <v>60</v>
      </c>
      <c r="K188" s="2" t="s">
        <v>2522</v>
      </c>
      <c r="L188" s="2" t="s">
        <v>2523</v>
      </c>
      <c r="M188" s="3" t="s">
        <v>587</v>
      </c>
      <c r="O188" s="3" t="s">
        <v>65</v>
      </c>
      <c r="P188" s="3" t="s">
        <v>1480</v>
      </c>
      <c r="R188" s="3" t="s">
        <v>1602</v>
      </c>
      <c r="S188" s="4">
        <v>1</v>
      </c>
      <c r="T188" s="4">
        <v>1</v>
      </c>
      <c r="U188" s="5" t="s">
        <v>1344</v>
      </c>
      <c r="V188" s="5" t="s">
        <v>1344</v>
      </c>
      <c r="W188" s="5" t="s">
        <v>1345</v>
      </c>
      <c r="X188" s="5" t="s">
        <v>1345</v>
      </c>
      <c r="Y188" s="4">
        <v>703</v>
      </c>
      <c r="Z188" s="4">
        <v>683</v>
      </c>
      <c r="AA188" s="4">
        <v>713</v>
      </c>
      <c r="AB188" s="4">
        <v>7</v>
      </c>
      <c r="AC188" s="4">
        <v>7</v>
      </c>
      <c r="AD188" s="4">
        <v>27</v>
      </c>
      <c r="AE188" s="4">
        <v>28</v>
      </c>
      <c r="AF188" s="4">
        <v>8</v>
      </c>
      <c r="AG188" s="4">
        <v>8</v>
      </c>
      <c r="AH188" s="4">
        <v>6</v>
      </c>
      <c r="AI188" s="4">
        <v>6</v>
      </c>
      <c r="AJ188" s="4">
        <v>12</v>
      </c>
      <c r="AK188" s="4">
        <v>13</v>
      </c>
      <c r="AL188" s="4">
        <v>5</v>
      </c>
      <c r="AM188" s="4">
        <v>5</v>
      </c>
      <c r="AN188" s="4">
        <v>2</v>
      </c>
      <c r="AO188" s="4">
        <v>2</v>
      </c>
      <c r="AP188" s="3" t="s">
        <v>58</v>
      </c>
      <c r="AQ188" s="3" t="s">
        <v>58</v>
      </c>
      <c r="AS188" s="6" t="str">
        <f>HYPERLINK("https://creighton-primo.hosted.exlibrisgroup.com/primo-explore/search?tab=default_tab&amp;search_scope=EVERYTHING&amp;vid=01CRU&amp;lang=en_US&amp;offset=0&amp;query=any,contains,991003539109702656","Catalog Record")</f>
        <v>Catalog Record</v>
      </c>
      <c r="AT188" s="6" t="str">
        <f>HYPERLINK("http://www.worldcat.org/oclc/45375089","WorldCat Record")</f>
        <v>WorldCat Record</v>
      </c>
      <c r="AU188" s="3" t="s">
        <v>2524</v>
      </c>
      <c r="AV188" s="3" t="s">
        <v>2525</v>
      </c>
      <c r="AW188" s="3" t="s">
        <v>2526</v>
      </c>
      <c r="AX188" s="3" t="s">
        <v>2526</v>
      </c>
      <c r="AY188" s="3" t="s">
        <v>2527</v>
      </c>
      <c r="AZ188" s="3" t="s">
        <v>74</v>
      </c>
      <c r="BB188" s="3" t="s">
        <v>2528</v>
      </c>
      <c r="BC188" s="3" t="s">
        <v>2529</v>
      </c>
      <c r="BD188" s="3" t="s">
        <v>2530</v>
      </c>
    </row>
    <row r="189" spans="1:56" ht="40.5" customHeight="1" x14ac:dyDescent="0.25">
      <c r="A189" s="7" t="s">
        <v>58</v>
      </c>
      <c r="B189" s="2" t="s">
        <v>2531</v>
      </c>
      <c r="C189" s="2" t="s">
        <v>2532</v>
      </c>
      <c r="D189" s="2" t="s">
        <v>2533</v>
      </c>
      <c r="F189" s="3" t="s">
        <v>58</v>
      </c>
      <c r="G189" s="3" t="s">
        <v>59</v>
      </c>
      <c r="H189" s="3" t="s">
        <v>58</v>
      </c>
      <c r="I189" s="3" t="s">
        <v>58</v>
      </c>
      <c r="J189" s="3" t="s">
        <v>60</v>
      </c>
      <c r="K189" s="2" t="s">
        <v>2534</v>
      </c>
      <c r="L189" s="2" t="s">
        <v>2535</v>
      </c>
      <c r="M189" s="3" t="s">
        <v>1564</v>
      </c>
      <c r="O189" s="3" t="s">
        <v>65</v>
      </c>
      <c r="P189" s="3" t="s">
        <v>244</v>
      </c>
      <c r="R189" s="3" t="s">
        <v>1602</v>
      </c>
      <c r="S189" s="4">
        <v>1</v>
      </c>
      <c r="T189" s="4">
        <v>1</v>
      </c>
      <c r="U189" s="5" t="s">
        <v>2221</v>
      </c>
      <c r="V189" s="5" t="s">
        <v>2221</v>
      </c>
      <c r="W189" s="5" t="s">
        <v>2536</v>
      </c>
      <c r="X189" s="5" t="s">
        <v>2536</v>
      </c>
      <c r="Y189" s="4">
        <v>189</v>
      </c>
      <c r="Z189" s="4">
        <v>176</v>
      </c>
      <c r="AA189" s="4">
        <v>177</v>
      </c>
      <c r="AB189" s="4">
        <v>4</v>
      </c>
      <c r="AC189" s="4">
        <v>4</v>
      </c>
      <c r="AD189" s="4">
        <v>8</v>
      </c>
      <c r="AE189" s="4">
        <v>8</v>
      </c>
      <c r="AF189" s="4">
        <v>0</v>
      </c>
      <c r="AG189" s="4">
        <v>0</v>
      </c>
      <c r="AH189" s="4">
        <v>2</v>
      </c>
      <c r="AI189" s="4">
        <v>2</v>
      </c>
      <c r="AJ189" s="4">
        <v>1</v>
      </c>
      <c r="AK189" s="4">
        <v>1</v>
      </c>
      <c r="AL189" s="4">
        <v>2</v>
      </c>
      <c r="AM189" s="4">
        <v>2</v>
      </c>
      <c r="AN189" s="4">
        <v>4</v>
      </c>
      <c r="AO189" s="4">
        <v>4</v>
      </c>
      <c r="AP189" s="3" t="s">
        <v>58</v>
      </c>
      <c r="AQ189" s="3" t="s">
        <v>58</v>
      </c>
      <c r="AS189" s="6" t="str">
        <f>HYPERLINK("https://creighton-primo.hosted.exlibrisgroup.com/primo-explore/search?tab=default_tab&amp;search_scope=EVERYTHING&amp;vid=01CRU&amp;lang=en_US&amp;offset=0&amp;query=any,contains,991003408109702656","Catalog Record")</f>
        <v>Catalog Record</v>
      </c>
      <c r="AT189" s="6" t="str">
        <f>HYPERLINK("http://www.worldcat.org/oclc/947623","WorldCat Record")</f>
        <v>WorldCat Record</v>
      </c>
      <c r="AU189" s="3" t="s">
        <v>2537</v>
      </c>
      <c r="AV189" s="3" t="s">
        <v>2538</v>
      </c>
      <c r="AW189" s="3" t="s">
        <v>2539</v>
      </c>
      <c r="AX189" s="3" t="s">
        <v>2539</v>
      </c>
      <c r="AY189" s="3" t="s">
        <v>2540</v>
      </c>
      <c r="AZ189" s="3" t="s">
        <v>74</v>
      </c>
      <c r="BB189" s="3" t="s">
        <v>2541</v>
      </c>
      <c r="BC189" s="3" t="s">
        <v>2542</v>
      </c>
      <c r="BD189" s="3" t="s">
        <v>2543</v>
      </c>
    </row>
    <row r="190" spans="1:56" ht="40.5" customHeight="1" x14ac:dyDescent="0.25">
      <c r="A190" s="7" t="s">
        <v>58</v>
      </c>
      <c r="B190" s="2" t="s">
        <v>2544</v>
      </c>
      <c r="C190" s="2" t="s">
        <v>2545</v>
      </c>
      <c r="D190" s="2" t="s">
        <v>2546</v>
      </c>
      <c r="F190" s="3" t="s">
        <v>58</v>
      </c>
      <c r="G190" s="3" t="s">
        <v>59</v>
      </c>
      <c r="H190" s="3" t="s">
        <v>58</v>
      </c>
      <c r="I190" s="3" t="s">
        <v>58</v>
      </c>
      <c r="J190" s="3" t="s">
        <v>60</v>
      </c>
      <c r="K190" s="2" t="s">
        <v>2547</v>
      </c>
      <c r="L190" s="2" t="s">
        <v>2548</v>
      </c>
      <c r="M190" s="3" t="s">
        <v>2549</v>
      </c>
      <c r="O190" s="3" t="s">
        <v>65</v>
      </c>
      <c r="P190" s="3" t="s">
        <v>2550</v>
      </c>
      <c r="R190" s="3" t="s">
        <v>1602</v>
      </c>
      <c r="S190" s="4">
        <v>1</v>
      </c>
      <c r="T190" s="4">
        <v>1</v>
      </c>
      <c r="U190" s="5" t="s">
        <v>2488</v>
      </c>
      <c r="V190" s="5" t="s">
        <v>2488</v>
      </c>
      <c r="W190" s="5" t="s">
        <v>2551</v>
      </c>
      <c r="X190" s="5" t="s">
        <v>2551</v>
      </c>
      <c r="Y190" s="4">
        <v>94</v>
      </c>
      <c r="Z190" s="4">
        <v>93</v>
      </c>
      <c r="AA190" s="4">
        <v>102</v>
      </c>
      <c r="AB190" s="4">
        <v>2</v>
      </c>
      <c r="AC190" s="4">
        <v>2</v>
      </c>
      <c r="AD190" s="4">
        <v>4</v>
      </c>
      <c r="AE190" s="4">
        <v>4</v>
      </c>
      <c r="AF190" s="4">
        <v>0</v>
      </c>
      <c r="AG190" s="4">
        <v>0</v>
      </c>
      <c r="AH190" s="4">
        <v>0</v>
      </c>
      <c r="AI190" s="4">
        <v>0</v>
      </c>
      <c r="AJ190" s="4">
        <v>3</v>
      </c>
      <c r="AK190" s="4">
        <v>3</v>
      </c>
      <c r="AL190" s="4">
        <v>1</v>
      </c>
      <c r="AM190" s="4">
        <v>1</v>
      </c>
      <c r="AN190" s="4">
        <v>0</v>
      </c>
      <c r="AO190" s="4">
        <v>0</v>
      </c>
      <c r="AP190" s="3" t="s">
        <v>58</v>
      </c>
      <c r="AQ190" s="3" t="s">
        <v>58</v>
      </c>
      <c r="AS190" s="6" t="str">
        <f>HYPERLINK("https://creighton-primo.hosted.exlibrisgroup.com/primo-explore/search?tab=default_tab&amp;search_scope=EVERYTHING&amp;vid=01CRU&amp;lang=en_US&amp;offset=0&amp;query=any,contains,991004494259702656","Catalog Record")</f>
        <v>Catalog Record</v>
      </c>
      <c r="AT190" s="6" t="str">
        <f>HYPERLINK("http://www.worldcat.org/oclc/3684084","WorldCat Record")</f>
        <v>WorldCat Record</v>
      </c>
      <c r="AU190" s="3" t="s">
        <v>2552</v>
      </c>
      <c r="AV190" s="3" t="s">
        <v>2553</v>
      </c>
      <c r="AW190" s="3" t="s">
        <v>2554</v>
      </c>
      <c r="AX190" s="3" t="s">
        <v>2554</v>
      </c>
      <c r="AY190" s="3" t="s">
        <v>2555</v>
      </c>
      <c r="AZ190" s="3" t="s">
        <v>74</v>
      </c>
      <c r="BC190" s="3" t="s">
        <v>2556</v>
      </c>
      <c r="BD190" s="3" t="s">
        <v>2557</v>
      </c>
    </row>
    <row r="191" spans="1:56" ht="40.5" customHeight="1" x14ac:dyDescent="0.25">
      <c r="A191" s="7" t="s">
        <v>58</v>
      </c>
      <c r="B191" s="2" t="s">
        <v>2558</v>
      </c>
      <c r="C191" s="2" t="s">
        <v>2559</v>
      </c>
      <c r="D191" s="2" t="s">
        <v>2560</v>
      </c>
      <c r="F191" s="3" t="s">
        <v>58</v>
      </c>
      <c r="G191" s="3" t="s">
        <v>59</v>
      </c>
      <c r="H191" s="3" t="s">
        <v>58</v>
      </c>
      <c r="I191" s="3" t="s">
        <v>58</v>
      </c>
      <c r="J191" s="3" t="s">
        <v>60</v>
      </c>
      <c r="K191" s="2" t="s">
        <v>2561</v>
      </c>
      <c r="L191" s="2" t="s">
        <v>1242</v>
      </c>
      <c r="M191" s="3" t="s">
        <v>1243</v>
      </c>
      <c r="O191" s="3" t="s">
        <v>65</v>
      </c>
      <c r="P191" s="3" t="s">
        <v>169</v>
      </c>
      <c r="Q191" s="2" t="s">
        <v>2049</v>
      </c>
      <c r="R191" s="3" t="s">
        <v>1602</v>
      </c>
      <c r="S191" s="4">
        <v>1</v>
      </c>
      <c r="T191" s="4">
        <v>1</v>
      </c>
      <c r="U191" s="5" t="s">
        <v>2562</v>
      </c>
      <c r="V191" s="5" t="s">
        <v>2562</v>
      </c>
      <c r="W191" s="5" t="s">
        <v>2551</v>
      </c>
      <c r="X191" s="5" t="s">
        <v>2551</v>
      </c>
      <c r="Y191" s="4">
        <v>680</v>
      </c>
      <c r="Z191" s="4">
        <v>602</v>
      </c>
      <c r="AA191" s="4">
        <v>609</v>
      </c>
      <c r="AB191" s="4">
        <v>5</v>
      </c>
      <c r="AC191" s="4">
        <v>5</v>
      </c>
      <c r="AD191" s="4">
        <v>29</v>
      </c>
      <c r="AE191" s="4">
        <v>29</v>
      </c>
      <c r="AF191" s="4">
        <v>7</v>
      </c>
      <c r="AG191" s="4">
        <v>7</v>
      </c>
      <c r="AH191" s="4">
        <v>7</v>
      </c>
      <c r="AI191" s="4">
        <v>7</v>
      </c>
      <c r="AJ191" s="4">
        <v>13</v>
      </c>
      <c r="AK191" s="4">
        <v>13</v>
      </c>
      <c r="AL191" s="4">
        <v>4</v>
      </c>
      <c r="AM191" s="4">
        <v>4</v>
      </c>
      <c r="AN191" s="4">
        <v>5</v>
      </c>
      <c r="AO191" s="4">
        <v>5</v>
      </c>
      <c r="AP191" s="3" t="s">
        <v>58</v>
      </c>
      <c r="AQ191" s="3" t="s">
        <v>80</v>
      </c>
      <c r="AR191" s="6" t="str">
        <f>HYPERLINK("http://catalog.hathitrust.org/Record/000570313","HathiTrust Record")</f>
        <v>HathiTrust Record</v>
      </c>
      <c r="AS191" s="6" t="str">
        <f>HYPERLINK("https://creighton-primo.hosted.exlibrisgroup.com/primo-explore/search?tab=default_tab&amp;search_scope=EVERYTHING&amp;vid=01CRU&amp;lang=en_US&amp;offset=0&amp;query=any,contains,991000610929702656","Catalog Record")</f>
        <v>Catalog Record</v>
      </c>
      <c r="AT191" s="6" t="str">
        <f>HYPERLINK("http://www.worldcat.org/oclc/11915532","WorldCat Record")</f>
        <v>WorldCat Record</v>
      </c>
      <c r="AU191" s="3" t="s">
        <v>2563</v>
      </c>
      <c r="AV191" s="3" t="s">
        <v>2564</v>
      </c>
      <c r="AW191" s="3" t="s">
        <v>2565</v>
      </c>
      <c r="AX191" s="3" t="s">
        <v>2565</v>
      </c>
      <c r="AY191" s="3" t="s">
        <v>2566</v>
      </c>
      <c r="AZ191" s="3" t="s">
        <v>74</v>
      </c>
      <c r="BB191" s="3" t="s">
        <v>2567</v>
      </c>
      <c r="BC191" s="3" t="s">
        <v>2568</v>
      </c>
      <c r="BD191" s="3" t="s">
        <v>2569</v>
      </c>
    </row>
    <row r="192" spans="1:56" ht="40.5" customHeight="1" x14ac:dyDescent="0.25">
      <c r="A192" s="7" t="s">
        <v>58</v>
      </c>
      <c r="B192" s="2" t="s">
        <v>2570</v>
      </c>
      <c r="C192" s="2" t="s">
        <v>2571</v>
      </c>
      <c r="D192" s="2" t="s">
        <v>2572</v>
      </c>
      <c r="F192" s="3" t="s">
        <v>58</v>
      </c>
      <c r="G192" s="3" t="s">
        <v>59</v>
      </c>
      <c r="H192" s="3" t="s">
        <v>58</v>
      </c>
      <c r="I192" s="3" t="s">
        <v>58</v>
      </c>
      <c r="J192" s="3" t="s">
        <v>60</v>
      </c>
      <c r="L192" s="2" t="s">
        <v>2573</v>
      </c>
      <c r="M192" s="3" t="s">
        <v>228</v>
      </c>
      <c r="O192" s="3" t="s">
        <v>65</v>
      </c>
      <c r="P192" s="3" t="s">
        <v>214</v>
      </c>
      <c r="Q192" s="2" t="s">
        <v>2574</v>
      </c>
      <c r="R192" s="3" t="s">
        <v>1602</v>
      </c>
      <c r="S192" s="4">
        <v>1</v>
      </c>
      <c r="T192" s="4">
        <v>1</v>
      </c>
      <c r="U192" s="5" t="s">
        <v>2575</v>
      </c>
      <c r="V192" s="5" t="s">
        <v>2575</v>
      </c>
      <c r="W192" s="5" t="s">
        <v>2576</v>
      </c>
      <c r="X192" s="5" t="s">
        <v>2576</v>
      </c>
      <c r="Y192" s="4">
        <v>497</v>
      </c>
      <c r="Z192" s="4">
        <v>389</v>
      </c>
      <c r="AA192" s="4">
        <v>833</v>
      </c>
      <c r="AB192" s="4">
        <v>1</v>
      </c>
      <c r="AC192" s="4">
        <v>9</v>
      </c>
      <c r="AD192" s="4">
        <v>20</v>
      </c>
      <c r="AE192" s="4">
        <v>41</v>
      </c>
      <c r="AF192" s="4">
        <v>6</v>
      </c>
      <c r="AG192" s="4">
        <v>12</v>
      </c>
      <c r="AH192" s="4">
        <v>4</v>
      </c>
      <c r="AI192" s="4">
        <v>9</v>
      </c>
      <c r="AJ192" s="4">
        <v>10</v>
      </c>
      <c r="AK192" s="4">
        <v>15</v>
      </c>
      <c r="AL192" s="4">
        <v>0</v>
      </c>
      <c r="AM192" s="4">
        <v>7</v>
      </c>
      <c r="AN192" s="4">
        <v>5</v>
      </c>
      <c r="AO192" s="4">
        <v>6</v>
      </c>
      <c r="AP192" s="3" t="s">
        <v>58</v>
      </c>
      <c r="AQ192" s="3" t="s">
        <v>58</v>
      </c>
      <c r="AS192" s="6" t="str">
        <f>HYPERLINK("https://creighton-primo.hosted.exlibrisgroup.com/primo-explore/search?tab=default_tab&amp;search_scope=EVERYTHING&amp;vid=01CRU&amp;lang=en_US&amp;offset=0&amp;query=any,contains,991001643749702656","Catalog Record")</f>
        <v>Catalog Record</v>
      </c>
      <c r="AT192" s="6" t="str">
        <f>HYPERLINK("http://www.worldcat.org/oclc/21039330","WorldCat Record")</f>
        <v>WorldCat Record</v>
      </c>
      <c r="AU192" s="3" t="s">
        <v>2577</v>
      </c>
      <c r="AV192" s="3" t="s">
        <v>2578</v>
      </c>
      <c r="AW192" s="3" t="s">
        <v>2579</v>
      </c>
      <c r="AX192" s="3" t="s">
        <v>2579</v>
      </c>
      <c r="AY192" s="3" t="s">
        <v>2580</v>
      </c>
      <c r="AZ192" s="3" t="s">
        <v>74</v>
      </c>
      <c r="BB192" s="3" t="s">
        <v>2581</v>
      </c>
      <c r="BC192" s="3" t="s">
        <v>2582</v>
      </c>
      <c r="BD192" s="3" t="s">
        <v>2583</v>
      </c>
    </row>
    <row r="193" spans="1:56" ht="40.5" customHeight="1" x14ac:dyDescent="0.25">
      <c r="A193" s="7" t="s">
        <v>58</v>
      </c>
      <c r="B193" s="2" t="s">
        <v>2584</v>
      </c>
      <c r="C193" s="2" t="s">
        <v>2585</v>
      </c>
      <c r="D193" s="2" t="s">
        <v>2586</v>
      </c>
      <c r="F193" s="3" t="s">
        <v>58</v>
      </c>
      <c r="G193" s="3" t="s">
        <v>59</v>
      </c>
      <c r="H193" s="3" t="s">
        <v>58</v>
      </c>
      <c r="I193" s="3" t="s">
        <v>58</v>
      </c>
      <c r="J193" s="3" t="s">
        <v>60</v>
      </c>
      <c r="K193" s="2" t="s">
        <v>2587</v>
      </c>
      <c r="L193" s="2" t="s">
        <v>2588</v>
      </c>
      <c r="M193" s="3" t="s">
        <v>615</v>
      </c>
      <c r="O193" s="3" t="s">
        <v>65</v>
      </c>
      <c r="P193" s="3" t="s">
        <v>275</v>
      </c>
      <c r="R193" s="3" t="s">
        <v>1602</v>
      </c>
      <c r="S193" s="4">
        <v>1</v>
      </c>
      <c r="T193" s="4">
        <v>1</v>
      </c>
      <c r="U193" s="5" t="s">
        <v>2589</v>
      </c>
      <c r="V193" s="5" t="s">
        <v>2589</v>
      </c>
      <c r="W193" s="5" t="s">
        <v>1700</v>
      </c>
      <c r="X193" s="5" t="s">
        <v>1700</v>
      </c>
      <c r="Y193" s="4">
        <v>387</v>
      </c>
      <c r="Z193" s="4">
        <v>363</v>
      </c>
      <c r="AA193" s="4">
        <v>370</v>
      </c>
      <c r="AB193" s="4">
        <v>2</v>
      </c>
      <c r="AC193" s="4">
        <v>2</v>
      </c>
      <c r="AD193" s="4">
        <v>14</v>
      </c>
      <c r="AE193" s="4">
        <v>14</v>
      </c>
      <c r="AF193" s="4">
        <v>3</v>
      </c>
      <c r="AG193" s="4">
        <v>3</v>
      </c>
      <c r="AH193" s="4">
        <v>3</v>
      </c>
      <c r="AI193" s="4">
        <v>3</v>
      </c>
      <c r="AJ193" s="4">
        <v>8</v>
      </c>
      <c r="AK193" s="4">
        <v>8</v>
      </c>
      <c r="AL193" s="4">
        <v>1</v>
      </c>
      <c r="AM193" s="4">
        <v>1</v>
      </c>
      <c r="AN193" s="4">
        <v>2</v>
      </c>
      <c r="AO193" s="4">
        <v>2</v>
      </c>
      <c r="AP193" s="3" t="s">
        <v>58</v>
      </c>
      <c r="AQ193" s="3" t="s">
        <v>80</v>
      </c>
      <c r="AR193" s="6" t="str">
        <f>HYPERLINK("http://catalog.hathitrust.org/Record/000243933","HathiTrust Record")</f>
        <v>HathiTrust Record</v>
      </c>
      <c r="AS193" s="6" t="str">
        <f>HYPERLINK("https://creighton-primo.hosted.exlibrisgroup.com/primo-explore/search?tab=default_tab&amp;search_scope=EVERYTHING&amp;vid=01CRU&amp;lang=en_US&amp;offset=0&amp;query=any,contains,991000268179702656","Catalog Record")</f>
        <v>Catalog Record</v>
      </c>
      <c r="AT193" s="6" t="str">
        <f>HYPERLINK("http://www.worldcat.org/oclc/9814703","WorldCat Record")</f>
        <v>WorldCat Record</v>
      </c>
      <c r="AU193" s="3" t="s">
        <v>2590</v>
      </c>
      <c r="AV193" s="3" t="s">
        <v>2591</v>
      </c>
      <c r="AW193" s="3" t="s">
        <v>2592</v>
      </c>
      <c r="AX193" s="3" t="s">
        <v>2592</v>
      </c>
      <c r="AY193" s="3" t="s">
        <v>2593</v>
      </c>
      <c r="AZ193" s="3" t="s">
        <v>74</v>
      </c>
      <c r="BB193" s="3" t="s">
        <v>2594</v>
      </c>
      <c r="BC193" s="3" t="s">
        <v>2595</v>
      </c>
      <c r="BD193" s="3" t="s">
        <v>2596</v>
      </c>
    </row>
    <row r="194" spans="1:56" ht="40.5" customHeight="1" x14ac:dyDescent="0.25">
      <c r="A194" s="7" t="s">
        <v>58</v>
      </c>
      <c r="B194" s="2" t="s">
        <v>2597</v>
      </c>
      <c r="C194" s="2" t="s">
        <v>2598</v>
      </c>
      <c r="D194" s="2" t="s">
        <v>2599</v>
      </c>
      <c r="F194" s="3" t="s">
        <v>58</v>
      </c>
      <c r="G194" s="3" t="s">
        <v>59</v>
      </c>
      <c r="H194" s="3" t="s">
        <v>80</v>
      </c>
      <c r="I194" s="3" t="s">
        <v>80</v>
      </c>
      <c r="J194" s="3" t="s">
        <v>60</v>
      </c>
      <c r="K194" s="2" t="s">
        <v>2600</v>
      </c>
      <c r="L194" s="2" t="s">
        <v>2601</v>
      </c>
      <c r="M194" s="3" t="s">
        <v>362</v>
      </c>
      <c r="N194" s="2" t="s">
        <v>2602</v>
      </c>
      <c r="O194" s="3" t="s">
        <v>65</v>
      </c>
      <c r="P194" s="3" t="s">
        <v>169</v>
      </c>
      <c r="R194" s="3" t="s">
        <v>1602</v>
      </c>
      <c r="S194" s="4">
        <v>0</v>
      </c>
      <c r="T194" s="4">
        <v>1</v>
      </c>
      <c r="V194" s="5" t="s">
        <v>2603</v>
      </c>
      <c r="W194" s="5" t="s">
        <v>2604</v>
      </c>
      <c r="X194" s="5" t="s">
        <v>2605</v>
      </c>
      <c r="Y194" s="4">
        <v>262</v>
      </c>
      <c r="Z194" s="4">
        <v>249</v>
      </c>
      <c r="AA194" s="4">
        <v>825</v>
      </c>
      <c r="AB194" s="4">
        <v>4</v>
      </c>
      <c r="AC194" s="4">
        <v>6</v>
      </c>
      <c r="AD194" s="4">
        <v>15</v>
      </c>
      <c r="AE194" s="4">
        <v>53</v>
      </c>
      <c r="AF194" s="4">
        <v>1</v>
      </c>
      <c r="AG194" s="4">
        <v>11</v>
      </c>
      <c r="AH194" s="4">
        <v>2</v>
      </c>
      <c r="AI194" s="4">
        <v>7</v>
      </c>
      <c r="AJ194" s="4">
        <v>6</v>
      </c>
      <c r="AK194" s="4">
        <v>19</v>
      </c>
      <c r="AL194" s="4">
        <v>2</v>
      </c>
      <c r="AM194" s="4">
        <v>3</v>
      </c>
      <c r="AN194" s="4">
        <v>6</v>
      </c>
      <c r="AO194" s="4">
        <v>22</v>
      </c>
      <c r="AP194" s="3" t="s">
        <v>58</v>
      </c>
      <c r="AQ194" s="3" t="s">
        <v>58</v>
      </c>
      <c r="AS194" s="6" t="str">
        <f>HYPERLINK("https://creighton-primo.hosted.exlibrisgroup.com/primo-explore/search?tab=default_tab&amp;search_scope=EVERYTHING&amp;vid=01CRU&amp;lang=en_US&amp;offset=0&amp;query=any,contains,991001664089702656","Catalog Record")</f>
        <v>Catalog Record</v>
      </c>
      <c r="AT194" s="6" t="str">
        <f>HYPERLINK("http://www.worldcat.org/oclc/31206978","WorldCat Record")</f>
        <v>WorldCat Record</v>
      </c>
      <c r="AU194" s="3" t="s">
        <v>2606</v>
      </c>
      <c r="AV194" s="3" t="s">
        <v>2607</v>
      </c>
      <c r="AW194" s="3" t="s">
        <v>2608</v>
      </c>
      <c r="AX194" s="3" t="s">
        <v>2608</v>
      </c>
      <c r="AY194" s="3" t="s">
        <v>2609</v>
      </c>
      <c r="AZ194" s="3" t="s">
        <v>74</v>
      </c>
      <c r="BB194" s="3" t="s">
        <v>2610</v>
      </c>
      <c r="BC194" s="3" t="s">
        <v>2611</v>
      </c>
      <c r="BD194" s="3" t="s">
        <v>2612</v>
      </c>
    </row>
    <row r="195" spans="1:56" ht="40.5" customHeight="1" x14ac:dyDescent="0.25">
      <c r="A195" s="7" t="s">
        <v>58</v>
      </c>
      <c r="B195" s="2" t="s">
        <v>2613</v>
      </c>
      <c r="C195" s="2" t="s">
        <v>2614</v>
      </c>
      <c r="D195" s="2" t="s">
        <v>2615</v>
      </c>
      <c r="F195" s="3" t="s">
        <v>58</v>
      </c>
      <c r="G195" s="3" t="s">
        <v>59</v>
      </c>
      <c r="H195" s="3" t="s">
        <v>58</v>
      </c>
      <c r="I195" s="3" t="s">
        <v>58</v>
      </c>
      <c r="J195" s="3" t="s">
        <v>60</v>
      </c>
      <c r="K195" s="2" t="s">
        <v>2616</v>
      </c>
      <c r="L195" s="2" t="s">
        <v>2617</v>
      </c>
      <c r="M195" s="3" t="s">
        <v>2116</v>
      </c>
      <c r="O195" s="3" t="s">
        <v>65</v>
      </c>
      <c r="P195" s="3" t="s">
        <v>66</v>
      </c>
      <c r="Q195" s="2" t="s">
        <v>2618</v>
      </c>
      <c r="R195" s="3" t="s">
        <v>1602</v>
      </c>
      <c r="S195" s="4">
        <v>2</v>
      </c>
      <c r="T195" s="4">
        <v>2</v>
      </c>
      <c r="U195" s="5" t="s">
        <v>2619</v>
      </c>
      <c r="V195" s="5" t="s">
        <v>2619</v>
      </c>
      <c r="W195" s="5" t="s">
        <v>2620</v>
      </c>
      <c r="X195" s="5" t="s">
        <v>2620</v>
      </c>
      <c r="Y195" s="4">
        <v>307</v>
      </c>
      <c r="Z195" s="4">
        <v>291</v>
      </c>
      <c r="AA195" s="4">
        <v>292</v>
      </c>
      <c r="AB195" s="4">
        <v>3</v>
      </c>
      <c r="AC195" s="4">
        <v>3</v>
      </c>
      <c r="AD195" s="4">
        <v>12</v>
      </c>
      <c r="AE195" s="4">
        <v>12</v>
      </c>
      <c r="AF195" s="4">
        <v>0</v>
      </c>
      <c r="AG195" s="4">
        <v>0</v>
      </c>
      <c r="AH195" s="4">
        <v>2</v>
      </c>
      <c r="AI195" s="4">
        <v>2</v>
      </c>
      <c r="AJ195" s="4">
        <v>8</v>
      </c>
      <c r="AK195" s="4">
        <v>8</v>
      </c>
      <c r="AL195" s="4">
        <v>2</v>
      </c>
      <c r="AM195" s="4">
        <v>2</v>
      </c>
      <c r="AN195" s="4">
        <v>1</v>
      </c>
      <c r="AO195" s="4">
        <v>1</v>
      </c>
      <c r="AP195" s="3" t="s">
        <v>58</v>
      </c>
      <c r="AQ195" s="3" t="s">
        <v>58</v>
      </c>
      <c r="AS195" s="6" t="str">
        <f>HYPERLINK("https://creighton-primo.hosted.exlibrisgroup.com/primo-explore/search?tab=default_tab&amp;search_scope=EVERYTHING&amp;vid=01CRU&amp;lang=en_US&amp;offset=0&amp;query=any,contains,991003097869702656","Catalog Record")</f>
        <v>Catalog Record</v>
      </c>
      <c r="AT195" s="6" t="str">
        <f>HYPERLINK("http://www.worldcat.org/oclc/647453","WorldCat Record")</f>
        <v>WorldCat Record</v>
      </c>
      <c r="AU195" s="3" t="s">
        <v>2621</v>
      </c>
      <c r="AV195" s="3" t="s">
        <v>2622</v>
      </c>
      <c r="AW195" s="3" t="s">
        <v>2623</v>
      </c>
      <c r="AX195" s="3" t="s">
        <v>2623</v>
      </c>
      <c r="AY195" s="3" t="s">
        <v>2624</v>
      </c>
      <c r="AZ195" s="3" t="s">
        <v>74</v>
      </c>
      <c r="BC195" s="3" t="s">
        <v>2625</v>
      </c>
      <c r="BD195" s="3" t="s">
        <v>2626</v>
      </c>
    </row>
    <row r="196" spans="1:56" ht="40.5" customHeight="1" x14ac:dyDescent="0.25">
      <c r="A196" s="7" t="s">
        <v>58</v>
      </c>
      <c r="B196" s="2" t="s">
        <v>2627</v>
      </c>
      <c r="C196" s="2" t="s">
        <v>2628</v>
      </c>
      <c r="D196" s="2" t="s">
        <v>2629</v>
      </c>
      <c r="F196" s="3" t="s">
        <v>58</v>
      </c>
      <c r="G196" s="3" t="s">
        <v>59</v>
      </c>
      <c r="H196" s="3" t="s">
        <v>58</v>
      </c>
      <c r="I196" s="3" t="s">
        <v>58</v>
      </c>
      <c r="J196" s="3" t="s">
        <v>60</v>
      </c>
      <c r="K196" s="2" t="s">
        <v>2630</v>
      </c>
      <c r="L196" s="2" t="s">
        <v>2631</v>
      </c>
      <c r="M196" s="3" t="s">
        <v>1213</v>
      </c>
      <c r="N196" s="2" t="s">
        <v>84</v>
      </c>
      <c r="O196" s="3" t="s">
        <v>65</v>
      </c>
      <c r="P196" s="3" t="s">
        <v>66</v>
      </c>
      <c r="R196" s="3" t="s">
        <v>1602</v>
      </c>
      <c r="S196" s="4">
        <v>1</v>
      </c>
      <c r="T196" s="4">
        <v>1</v>
      </c>
      <c r="U196" s="5" t="s">
        <v>1873</v>
      </c>
      <c r="V196" s="5" t="s">
        <v>1873</v>
      </c>
      <c r="W196" s="5" t="s">
        <v>1873</v>
      </c>
      <c r="X196" s="5" t="s">
        <v>1873</v>
      </c>
      <c r="Y196" s="4">
        <v>671</v>
      </c>
      <c r="Z196" s="4">
        <v>614</v>
      </c>
      <c r="AA196" s="4">
        <v>674</v>
      </c>
      <c r="AB196" s="4">
        <v>9</v>
      </c>
      <c r="AC196" s="4">
        <v>10</v>
      </c>
      <c r="AD196" s="4">
        <v>26</v>
      </c>
      <c r="AE196" s="4">
        <v>30</v>
      </c>
      <c r="AF196" s="4">
        <v>7</v>
      </c>
      <c r="AG196" s="4">
        <v>9</v>
      </c>
      <c r="AH196" s="4">
        <v>5</v>
      </c>
      <c r="AI196" s="4">
        <v>6</v>
      </c>
      <c r="AJ196" s="4">
        <v>8</v>
      </c>
      <c r="AK196" s="4">
        <v>8</v>
      </c>
      <c r="AL196" s="4">
        <v>6</v>
      </c>
      <c r="AM196" s="4">
        <v>7</v>
      </c>
      <c r="AN196" s="4">
        <v>3</v>
      </c>
      <c r="AO196" s="4">
        <v>3</v>
      </c>
      <c r="AP196" s="3" t="s">
        <v>58</v>
      </c>
      <c r="AQ196" s="3" t="s">
        <v>58</v>
      </c>
      <c r="AS196" s="6" t="str">
        <f>HYPERLINK("https://creighton-primo.hosted.exlibrisgroup.com/primo-explore/search?tab=default_tab&amp;search_scope=EVERYTHING&amp;vid=01CRU&amp;lang=en_US&amp;offset=0&amp;query=any,contains,991004015809702656","Catalog Record")</f>
        <v>Catalog Record</v>
      </c>
      <c r="AT196" s="6" t="str">
        <f>HYPERLINK("http://www.worldcat.org/oclc/51744647","WorldCat Record")</f>
        <v>WorldCat Record</v>
      </c>
      <c r="AU196" s="3" t="s">
        <v>2632</v>
      </c>
      <c r="AV196" s="3" t="s">
        <v>2633</v>
      </c>
      <c r="AW196" s="3" t="s">
        <v>2634</v>
      </c>
      <c r="AX196" s="3" t="s">
        <v>2634</v>
      </c>
      <c r="AY196" s="3" t="s">
        <v>2635</v>
      </c>
      <c r="AZ196" s="3" t="s">
        <v>74</v>
      </c>
      <c r="BB196" s="3" t="s">
        <v>2636</v>
      </c>
      <c r="BC196" s="3" t="s">
        <v>2637</v>
      </c>
      <c r="BD196" s="3" t="s">
        <v>2638</v>
      </c>
    </row>
    <row r="197" spans="1:56" ht="40.5" customHeight="1" x14ac:dyDescent="0.25">
      <c r="A197" s="7" t="s">
        <v>58</v>
      </c>
      <c r="B197" s="2" t="s">
        <v>2639</v>
      </c>
      <c r="C197" s="2" t="s">
        <v>2640</v>
      </c>
      <c r="D197" s="2" t="s">
        <v>2641</v>
      </c>
      <c r="F197" s="3" t="s">
        <v>58</v>
      </c>
      <c r="G197" s="3" t="s">
        <v>59</v>
      </c>
      <c r="H197" s="3" t="s">
        <v>58</v>
      </c>
      <c r="I197" s="3" t="s">
        <v>58</v>
      </c>
      <c r="J197" s="3" t="s">
        <v>60</v>
      </c>
      <c r="K197" s="2" t="s">
        <v>2642</v>
      </c>
      <c r="L197" s="2" t="s">
        <v>2643</v>
      </c>
      <c r="M197" s="3" t="s">
        <v>98</v>
      </c>
      <c r="O197" s="3" t="s">
        <v>65</v>
      </c>
      <c r="P197" s="3" t="s">
        <v>66</v>
      </c>
      <c r="R197" s="3" t="s">
        <v>1602</v>
      </c>
      <c r="S197" s="4">
        <v>1</v>
      </c>
      <c r="T197" s="4">
        <v>1</v>
      </c>
      <c r="U197" s="5" t="s">
        <v>1753</v>
      </c>
      <c r="V197" s="5" t="s">
        <v>1753</v>
      </c>
      <c r="W197" s="5" t="s">
        <v>2644</v>
      </c>
      <c r="X197" s="5" t="s">
        <v>2644</v>
      </c>
      <c r="Y197" s="4">
        <v>432</v>
      </c>
      <c r="Z197" s="4">
        <v>384</v>
      </c>
      <c r="AA197" s="4">
        <v>452</v>
      </c>
      <c r="AB197" s="4">
        <v>4</v>
      </c>
      <c r="AC197" s="4">
        <v>5</v>
      </c>
      <c r="AD197" s="4">
        <v>27</v>
      </c>
      <c r="AE197" s="4">
        <v>31</v>
      </c>
      <c r="AF197" s="4">
        <v>7</v>
      </c>
      <c r="AG197" s="4">
        <v>10</v>
      </c>
      <c r="AH197" s="4">
        <v>6</v>
      </c>
      <c r="AI197" s="4">
        <v>6</v>
      </c>
      <c r="AJ197" s="4">
        <v>14</v>
      </c>
      <c r="AK197" s="4">
        <v>15</v>
      </c>
      <c r="AL197" s="4">
        <v>3</v>
      </c>
      <c r="AM197" s="4">
        <v>4</v>
      </c>
      <c r="AN197" s="4">
        <v>3</v>
      </c>
      <c r="AO197" s="4">
        <v>3</v>
      </c>
      <c r="AP197" s="3" t="s">
        <v>58</v>
      </c>
      <c r="AQ197" s="3" t="s">
        <v>58</v>
      </c>
      <c r="AS197" s="6" t="str">
        <f>HYPERLINK("https://creighton-primo.hosted.exlibrisgroup.com/primo-explore/search?tab=default_tab&amp;search_scope=EVERYTHING&amp;vid=01CRU&amp;lang=en_US&amp;offset=0&amp;query=any,contains,991002334489702656","Catalog Record")</f>
        <v>Catalog Record</v>
      </c>
      <c r="AT197" s="6" t="str">
        <f>HYPERLINK("http://www.worldcat.org/oclc/30398396","WorldCat Record")</f>
        <v>WorldCat Record</v>
      </c>
      <c r="AU197" s="3" t="s">
        <v>2645</v>
      </c>
      <c r="AV197" s="3" t="s">
        <v>2646</v>
      </c>
      <c r="AW197" s="3" t="s">
        <v>2647</v>
      </c>
      <c r="AX197" s="3" t="s">
        <v>2647</v>
      </c>
      <c r="AY197" s="3" t="s">
        <v>2648</v>
      </c>
      <c r="AZ197" s="3" t="s">
        <v>74</v>
      </c>
      <c r="BB197" s="3" t="s">
        <v>2649</v>
      </c>
      <c r="BC197" s="3" t="s">
        <v>2650</v>
      </c>
      <c r="BD197" s="3" t="s">
        <v>2651</v>
      </c>
    </row>
    <row r="198" spans="1:56" ht="40.5" customHeight="1" x14ac:dyDescent="0.25">
      <c r="A198" s="7" t="s">
        <v>58</v>
      </c>
      <c r="B198" s="2" t="s">
        <v>2652</v>
      </c>
      <c r="C198" s="2" t="s">
        <v>2653</v>
      </c>
      <c r="D198" s="2" t="s">
        <v>2654</v>
      </c>
      <c r="F198" s="3" t="s">
        <v>58</v>
      </c>
      <c r="G198" s="3" t="s">
        <v>59</v>
      </c>
      <c r="H198" s="3" t="s">
        <v>58</v>
      </c>
      <c r="I198" s="3" t="s">
        <v>58</v>
      </c>
      <c r="J198" s="3" t="s">
        <v>60</v>
      </c>
      <c r="K198" s="2" t="s">
        <v>2655</v>
      </c>
      <c r="L198" s="2" t="s">
        <v>2656</v>
      </c>
      <c r="M198" s="3" t="s">
        <v>2657</v>
      </c>
      <c r="O198" s="3" t="s">
        <v>65</v>
      </c>
      <c r="P198" s="3" t="s">
        <v>2035</v>
      </c>
      <c r="R198" s="3" t="s">
        <v>1602</v>
      </c>
      <c r="S198" s="4">
        <v>1</v>
      </c>
      <c r="T198" s="4">
        <v>1</v>
      </c>
      <c r="U198" s="5" t="s">
        <v>1765</v>
      </c>
      <c r="V198" s="5" t="s">
        <v>1765</v>
      </c>
      <c r="W198" s="5" t="s">
        <v>2658</v>
      </c>
      <c r="X198" s="5" t="s">
        <v>2658</v>
      </c>
      <c r="Y198" s="4">
        <v>276</v>
      </c>
      <c r="Z198" s="4">
        <v>259</v>
      </c>
      <c r="AA198" s="4">
        <v>272</v>
      </c>
      <c r="AB198" s="4">
        <v>3</v>
      </c>
      <c r="AC198" s="4">
        <v>3</v>
      </c>
      <c r="AD198" s="4">
        <v>13</v>
      </c>
      <c r="AE198" s="4">
        <v>13</v>
      </c>
      <c r="AF198" s="4">
        <v>1</v>
      </c>
      <c r="AG198" s="4">
        <v>1</v>
      </c>
      <c r="AH198" s="4">
        <v>4</v>
      </c>
      <c r="AI198" s="4">
        <v>4</v>
      </c>
      <c r="AJ198" s="4">
        <v>7</v>
      </c>
      <c r="AK198" s="4">
        <v>7</v>
      </c>
      <c r="AL198" s="4">
        <v>2</v>
      </c>
      <c r="AM198" s="4">
        <v>2</v>
      </c>
      <c r="AN198" s="4">
        <v>1</v>
      </c>
      <c r="AO198" s="4">
        <v>1</v>
      </c>
      <c r="AP198" s="3" t="s">
        <v>80</v>
      </c>
      <c r="AQ198" s="3" t="s">
        <v>58</v>
      </c>
      <c r="AR198" s="6" t="str">
        <f>HYPERLINK("http://catalog.hathitrust.org/Record/000971773","HathiTrust Record")</f>
        <v>HathiTrust Record</v>
      </c>
      <c r="AS198" s="6" t="str">
        <f>HYPERLINK("https://creighton-primo.hosted.exlibrisgroup.com/primo-explore/search?tab=default_tab&amp;search_scope=EVERYTHING&amp;vid=01CRU&amp;lang=en_US&amp;offset=0&amp;query=any,contains,991003119509702656","Catalog Record")</f>
        <v>Catalog Record</v>
      </c>
      <c r="AT198" s="6" t="str">
        <f>HYPERLINK("http://www.worldcat.org/oclc/665250","WorldCat Record")</f>
        <v>WorldCat Record</v>
      </c>
      <c r="AU198" s="3" t="s">
        <v>2659</v>
      </c>
      <c r="AV198" s="3" t="s">
        <v>2660</v>
      </c>
      <c r="AW198" s="3" t="s">
        <v>2661</v>
      </c>
      <c r="AX198" s="3" t="s">
        <v>2661</v>
      </c>
      <c r="AY198" s="3" t="s">
        <v>2662</v>
      </c>
      <c r="AZ198" s="3" t="s">
        <v>74</v>
      </c>
      <c r="BC198" s="3" t="s">
        <v>2663</v>
      </c>
      <c r="BD198" s="3" t="s">
        <v>2664</v>
      </c>
    </row>
    <row r="199" spans="1:56" ht="40.5" customHeight="1" x14ac:dyDescent="0.25">
      <c r="A199" s="7" t="s">
        <v>58</v>
      </c>
      <c r="B199" s="2" t="s">
        <v>2665</v>
      </c>
      <c r="C199" s="2" t="s">
        <v>2666</v>
      </c>
      <c r="D199" s="2" t="s">
        <v>2667</v>
      </c>
      <c r="F199" s="3" t="s">
        <v>58</v>
      </c>
      <c r="G199" s="3" t="s">
        <v>59</v>
      </c>
      <c r="H199" s="3" t="s">
        <v>58</v>
      </c>
      <c r="I199" s="3" t="s">
        <v>58</v>
      </c>
      <c r="J199" s="3" t="s">
        <v>60</v>
      </c>
      <c r="K199" s="2" t="s">
        <v>2668</v>
      </c>
      <c r="L199" s="2" t="s">
        <v>2669</v>
      </c>
      <c r="M199" s="3" t="s">
        <v>168</v>
      </c>
      <c r="O199" s="3" t="s">
        <v>65</v>
      </c>
      <c r="P199" s="3" t="s">
        <v>169</v>
      </c>
      <c r="R199" s="3" t="s">
        <v>1602</v>
      </c>
      <c r="S199" s="4">
        <v>1</v>
      </c>
      <c r="T199" s="4">
        <v>1</v>
      </c>
      <c r="U199" s="5" t="s">
        <v>2670</v>
      </c>
      <c r="V199" s="5" t="s">
        <v>2670</v>
      </c>
      <c r="W199" s="5" t="s">
        <v>2551</v>
      </c>
      <c r="X199" s="5" t="s">
        <v>2551</v>
      </c>
      <c r="Y199" s="4">
        <v>621</v>
      </c>
      <c r="Z199" s="4">
        <v>560</v>
      </c>
      <c r="AA199" s="4">
        <v>566</v>
      </c>
      <c r="AB199" s="4">
        <v>5</v>
      </c>
      <c r="AC199" s="4">
        <v>5</v>
      </c>
      <c r="AD199" s="4">
        <v>25</v>
      </c>
      <c r="AE199" s="4">
        <v>25</v>
      </c>
      <c r="AF199" s="4">
        <v>5</v>
      </c>
      <c r="AG199" s="4">
        <v>5</v>
      </c>
      <c r="AH199" s="4">
        <v>5</v>
      </c>
      <c r="AI199" s="4">
        <v>5</v>
      </c>
      <c r="AJ199" s="4">
        <v>12</v>
      </c>
      <c r="AK199" s="4">
        <v>12</v>
      </c>
      <c r="AL199" s="4">
        <v>4</v>
      </c>
      <c r="AM199" s="4">
        <v>4</v>
      </c>
      <c r="AN199" s="4">
        <v>3</v>
      </c>
      <c r="AO199" s="4">
        <v>3</v>
      </c>
      <c r="AP199" s="3" t="s">
        <v>58</v>
      </c>
      <c r="AQ199" s="3" t="s">
        <v>80</v>
      </c>
      <c r="AR199" s="6" t="str">
        <f>HYPERLINK("http://catalog.hathitrust.org/Record/000814959","HathiTrust Record")</f>
        <v>HathiTrust Record</v>
      </c>
      <c r="AS199" s="6" t="str">
        <f>HYPERLINK("https://creighton-primo.hosted.exlibrisgroup.com/primo-explore/search?tab=default_tab&amp;search_scope=EVERYTHING&amp;vid=01CRU&amp;lang=en_US&amp;offset=0&amp;query=any,contains,991000993479702656","Catalog Record")</f>
        <v>Catalog Record</v>
      </c>
      <c r="AT199" s="6" t="str">
        <f>HYPERLINK("http://www.worldcat.org/oclc/15109507","WorldCat Record")</f>
        <v>WorldCat Record</v>
      </c>
      <c r="AU199" s="3" t="s">
        <v>2671</v>
      </c>
      <c r="AV199" s="3" t="s">
        <v>2672</v>
      </c>
      <c r="AW199" s="3" t="s">
        <v>2673</v>
      </c>
      <c r="AX199" s="3" t="s">
        <v>2673</v>
      </c>
      <c r="AY199" s="3" t="s">
        <v>2674</v>
      </c>
      <c r="AZ199" s="3" t="s">
        <v>74</v>
      </c>
      <c r="BB199" s="3" t="s">
        <v>2675</v>
      </c>
      <c r="BC199" s="3" t="s">
        <v>2676</v>
      </c>
      <c r="BD199" s="3" t="s">
        <v>2677</v>
      </c>
    </row>
    <row r="200" spans="1:56" ht="40.5" customHeight="1" x14ac:dyDescent="0.25">
      <c r="A200" s="7" t="s">
        <v>58</v>
      </c>
      <c r="B200" s="2" t="s">
        <v>2678</v>
      </c>
      <c r="C200" s="2" t="s">
        <v>2679</v>
      </c>
      <c r="D200" s="2" t="s">
        <v>2680</v>
      </c>
      <c r="F200" s="3" t="s">
        <v>58</v>
      </c>
      <c r="G200" s="3" t="s">
        <v>59</v>
      </c>
      <c r="H200" s="3" t="s">
        <v>58</v>
      </c>
      <c r="I200" s="3" t="s">
        <v>58</v>
      </c>
      <c r="J200" s="3" t="s">
        <v>60</v>
      </c>
      <c r="L200" s="2" t="s">
        <v>2681</v>
      </c>
      <c r="M200" s="3" t="s">
        <v>2156</v>
      </c>
      <c r="O200" s="3" t="s">
        <v>65</v>
      </c>
      <c r="P200" s="3" t="s">
        <v>66</v>
      </c>
      <c r="R200" s="3" t="s">
        <v>1602</v>
      </c>
      <c r="S200" s="4">
        <v>1</v>
      </c>
      <c r="T200" s="4">
        <v>1</v>
      </c>
      <c r="U200" s="5" t="s">
        <v>2682</v>
      </c>
      <c r="V200" s="5" t="s">
        <v>2682</v>
      </c>
      <c r="W200" s="5" t="s">
        <v>86</v>
      </c>
      <c r="X200" s="5" t="s">
        <v>86</v>
      </c>
      <c r="Y200" s="4">
        <v>214</v>
      </c>
      <c r="Z200" s="4">
        <v>157</v>
      </c>
      <c r="AA200" s="4">
        <v>160</v>
      </c>
      <c r="AB200" s="4">
        <v>2</v>
      </c>
      <c r="AC200" s="4">
        <v>2</v>
      </c>
      <c r="AD200" s="4">
        <v>2</v>
      </c>
      <c r="AE200" s="4">
        <v>2</v>
      </c>
      <c r="AF200" s="4">
        <v>0</v>
      </c>
      <c r="AG200" s="4">
        <v>0</v>
      </c>
      <c r="AH200" s="4">
        <v>0</v>
      </c>
      <c r="AI200" s="4">
        <v>0</v>
      </c>
      <c r="AJ200" s="4">
        <v>1</v>
      </c>
      <c r="AK200" s="4">
        <v>1</v>
      </c>
      <c r="AL200" s="4">
        <v>1</v>
      </c>
      <c r="AM200" s="4">
        <v>1</v>
      </c>
      <c r="AN200" s="4">
        <v>0</v>
      </c>
      <c r="AO200" s="4">
        <v>0</v>
      </c>
      <c r="AP200" s="3" t="s">
        <v>58</v>
      </c>
      <c r="AQ200" s="3" t="s">
        <v>80</v>
      </c>
      <c r="AR200" s="6" t="str">
        <f>HYPERLINK("http://catalog.hathitrust.org/Record/000106560","HathiTrust Record")</f>
        <v>HathiTrust Record</v>
      </c>
      <c r="AS200" s="6" t="str">
        <f>HYPERLINK("https://creighton-primo.hosted.exlibrisgroup.com/primo-explore/search?tab=default_tab&amp;search_scope=EVERYTHING&amp;vid=01CRU&amp;lang=en_US&amp;offset=0&amp;query=any,contains,991005210919702656","Catalog Record")</f>
        <v>Catalog Record</v>
      </c>
      <c r="AT200" s="6" t="str">
        <f>HYPERLINK("http://www.worldcat.org/oclc/8168875","WorldCat Record")</f>
        <v>WorldCat Record</v>
      </c>
      <c r="AU200" s="3" t="s">
        <v>2683</v>
      </c>
      <c r="AV200" s="3" t="s">
        <v>2684</v>
      </c>
      <c r="AW200" s="3" t="s">
        <v>2685</v>
      </c>
      <c r="AX200" s="3" t="s">
        <v>2685</v>
      </c>
      <c r="AY200" s="3" t="s">
        <v>2686</v>
      </c>
      <c r="AZ200" s="3" t="s">
        <v>74</v>
      </c>
      <c r="BB200" s="3" t="s">
        <v>2687</v>
      </c>
      <c r="BC200" s="3" t="s">
        <v>2688</v>
      </c>
      <c r="BD200" s="3" t="s">
        <v>2689</v>
      </c>
    </row>
    <row r="201" spans="1:56" ht="40.5" customHeight="1" x14ac:dyDescent="0.25">
      <c r="A201" s="7" t="s">
        <v>58</v>
      </c>
      <c r="B201" s="2" t="s">
        <v>2690</v>
      </c>
      <c r="C201" s="2" t="s">
        <v>2691</v>
      </c>
      <c r="D201" s="2" t="s">
        <v>2692</v>
      </c>
      <c r="F201" s="3" t="s">
        <v>58</v>
      </c>
      <c r="G201" s="3" t="s">
        <v>59</v>
      </c>
      <c r="H201" s="3" t="s">
        <v>58</v>
      </c>
      <c r="I201" s="3" t="s">
        <v>58</v>
      </c>
      <c r="J201" s="3" t="s">
        <v>60</v>
      </c>
      <c r="K201" s="2" t="s">
        <v>2693</v>
      </c>
      <c r="L201" s="2" t="s">
        <v>2694</v>
      </c>
      <c r="M201" s="3" t="s">
        <v>532</v>
      </c>
      <c r="O201" s="3" t="s">
        <v>65</v>
      </c>
      <c r="P201" s="3" t="s">
        <v>66</v>
      </c>
      <c r="R201" s="3" t="s">
        <v>1602</v>
      </c>
      <c r="S201" s="4">
        <v>1</v>
      </c>
      <c r="T201" s="4">
        <v>1</v>
      </c>
      <c r="U201" s="5" t="s">
        <v>2695</v>
      </c>
      <c r="V201" s="5" t="s">
        <v>2695</v>
      </c>
      <c r="W201" s="5" t="s">
        <v>2695</v>
      </c>
      <c r="X201" s="5" t="s">
        <v>2695</v>
      </c>
      <c r="Y201" s="4">
        <v>444</v>
      </c>
      <c r="Z201" s="4">
        <v>381</v>
      </c>
      <c r="AA201" s="4">
        <v>403</v>
      </c>
      <c r="AB201" s="4">
        <v>4</v>
      </c>
      <c r="AC201" s="4">
        <v>4</v>
      </c>
      <c r="AD201" s="4">
        <v>16</v>
      </c>
      <c r="AE201" s="4">
        <v>16</v>
      </c>
      <c r="AF201" s="4">
        <v>6</v>
      </c>
      <c r="AG201" s="4">
        <v>6</v>
      </c>
      <c r="AH201" s="4">
        <v>5</v>
      </c>
      <c r="AI201" s="4">
        <v>5</v>
      </c>
      <c r="AJ201" s="4">
        <v>5</v>
      </c>
      <c r="AK201" s="4">
        <v>5</v>
      </c>
      <c r="AL201" s="4">
        <v>3</v>
      </c>
      <c r="AM201" s="4">
        <v>3</v>
      </c>
      <c r="AN201" s="4">
        <v>0</v>
      </c>
      <c r="AO201" s="4">
        <v>0</v>
      </c>
      <c r="AP201" s="3" t="s">
        <v>58</v>
      </c>
      <c r="AQ201" s="3" t="s">
        <v>58</v>
      </c>
      <c r="AS201" s="6" t="str">
        <f>HYPERLINK("https://creighton-primo.hosted.exlibrisgroup.com/primo-explore/search?tab=default_tab&amp;search_scope=EVERYTHING&amp;vid=01CRU&amp;lang=en_US&amp;offset=0&amp;query=any,contains,991004458459702656","Catalog Record")</f>
        <v>Catalog Record</v>
      </c>
      <c r="AT201" s="6" t="str">
        <f>HYPERLINK("http://www.worldcat.org/oclc/55633673","WorldCat Record")</f>
        <v>WorldCat Record</v>
      </c>
      <c r="AU201" s="3" t="s">
        <v>2696</v>
      </c>
      <c r="AV201" s="3" t="s">
        <v>2697</v>
      </c>
      <c r="AW201" s="3" t="s">
        <v>2698</v>
      </c>
      <c r="AX201" s="3" t="s">
        <v>2698</v>
      </c>
      <c r="AY201" s="3" t="s">
        <v>2699</v>
      </c>
      <c r="AZ201" s="3" t="s">
        <v>74</v>
      </c>
      <c r="BB201" s="3" t="s">
        <v>2700</v>
      </c>
      <c r="BC201" s="3" t="s">
        <v>2701</v>
      </c>
      <c r="BD201" s="3" t="s">
        <v>2702</v>
      </c>
    </row>
    <row r="202" spans="1:56" ht="40.5" customHeight="1" x14ac:dyDescent="0.25">
      <c r="A202" s="7" t="s">
        <v>58</v>
      </c>
      <c r="B202" s="2" t="s">
        <v>2703</v>
      </c>
      <c r="C202" s="2" t="s">
        <v>2704</v>
      </c>
      <c r="D202" s="2" t="s">
        <v>2705</v>
      </c>
      <c r="F202" s="3" t="s">
        <v>58</v>
      </c>
      <c r="G202" s="3" t="s">
        <v>59</v>
      </c>
      <c r="H202" s="3" t="s">
        <v>58</v>
      </c>
      <c r="I202" s="3" t="s">
        <v>58</v>
      </c>
      <c r="J202" s="3" t="s">
        <v>60</v>
      </c>
      <c r="K202" s="2" t="s">
        <v>2706</v>
      </c>
      <c r="L202" s="2" t="s">
        <v>2707</v>
      </c>
      <c r="M202" s="3" t="s">
        <v>1213</v>
      </c>
      <c r="O202" s="3" t="s">
        <v>65</v>
      </c>
      <c r="P202" s="3" t="s">
        <v>169</v>
      </c>
      <c r="R202" s="3" t="s">
        <v>1602</v>
      </c>
      <c r="S202" s="4">
        <v>1</v>
      </c>
      <c r="T202" s="4">
        <v>1</v>
      </c>
      <c r="U202" s="5" t="s">
        <v>2708</v>
      </c>
      <c r="V202" s="5" t="s">
        <v>2708</v>
      </c>
      <c r="W202" s="5" t="s">
        <v>2708</v>
      </c>
      <c r="X202" s="5" t="s">
        <v>2708</v>
      </c>
      <c r="Y202" s="4">
        <v>380</v>
      </c>
      <c r="Z202" s="4">
        <v>322</v>
      </c>
      <c r="AA202" s="4">
        <v>855</v>
      </c>
      <c r="AB202" s="4">
        <v>3</v>
      </c>
      <c r="AC202" s="4">
        <v>8</v>
      </c>
      <c r="AD202" s="4">
        <v>21</v>
      </c>
      <c r="AE202" s="4">
        <v>45</v>
      </c>
      <c r="AF202" s="4">
        <v>10</v>
      </c>
      <c r="AG202" s="4">
        <v>19</v>
      </c>
      <c r="AH202" s="4">
        <v>5</v>
      </c>
      <c r="AI202" s="4">
        <v>9</v>
      </c>
      <c r="AJ202" s="4">
        <v>10</v>
      </c>
      <c r="AK202" s="4">
        <v>18</v>
      </c>
      <c r="AL202" s="4">
        <v>2</v>
      </c>
      <c r="AM202" s="4">
        <v>7</v>
      </c>
      <c r="AN202" s="4">
        <v>1</v>
      </c>
      <c r="AO202" s="4">
        <v>2</v>
      </c>
      <c r="AP202" s="3" t="s">
        <v>58</v>
      </c>
      <c r="AQ202" s="3" t="s">
        <v>80</v>
      </c>
      <c r="AR202" s="6" t="str">
        <f>HYPERLINK("http://catalog.hathitrust.org/Record/004349736","HathiTrust Record")</f>
        <v>HathiTrust Record</v>
      </c>
      <c r="AS202" s="6" t="str">
        <f>HYPERLINK("https://creighton-primo.hosted.exlibrisgroup.com/primo-explore/search?tab=default_tab&amp;search_scope=EVERYTHING&amp;vid=01CRU&amp;lang=en_US&amp;offset=0&amp;query=any,contains,991004181929702656","Catalog Record")</f>
        <v>Catalog Record</v>
      </c>
      <c r="AT202" s="6" t="str">
        <f>HYPERLINK("http://www.worldcat.org/oclc/52602758","WorldCat Record")</f>
        <v>WorldCat Record</v>
      </c>
      <c r="AU202" s="3" t="s">
        <v>2709</v>
      </c>
      <c r="AV202" s="3" t="s">
        <v>2710</v>
      </c>
      <c r="AW202" s="3" t="s">
        <v>2711</v>
      </c>
      <c r="AX202" s="3" t="s">
        <v>2711</v>
      </c>
      <c r="AY202" s="3" t="s">
        <v>2712</v>
      </c>
      <c r="AZ202" s="3" t="s">
        <v>74</v>
      </c>
      <c r="BB202" s="3" t="s">
        <v>2713</v>
      </c>
      <c r="BC202" s="3" t="s">
        <v>2714</v>
      </c>
      <c r="BD202" s="3" t="s">
        <v>2715</v>
      </c>
    </row>
    <row r="203" spans="1:56" ht="40.5" customHeight="1" x14ac:dyDescent="0.25">
      <c r="A203" s="7" t="s">
        <v>58</v>
      </c>
      <c r="B203" s="2" t="s">
        <v>2716</v>
      </c>
      <c r="C203" s="2" t="s">
        <v>2717</v>
      </c>
      <c r="D203" s="2" t="s">
        <v>2718</v>
      </c>
      <c r="F203" s="3" t="s">
        <v>58</v>
      </c>
      <c r="G203" s="3" t="s">
        <v>59</v>
      </c>
      <c r="H203" s="3" t="s">
        <v>58</v>
      </c>
      <c r="I203" s="3" t="s">
        <v>58</v>
      </c>
      <c r="J203" s="3" t="s">
        <v>60</v>
      </c>
      <c r="K203" s="2" t="s">
        <v>2719</v>
      </c>
      <c r="L203" s="2" t="s">
        <v>2720</v>
      </c>
      <c r="M203" s="3" t="s">
        <v>1926</v>
      </c>
      <c r="O203" s="3" t="s">
        <v>65</v>
      </c>
      <c r="P203" s="3" t="s">
        <v>112</v>
      </c>
      <c r="R203" s="3" t="s">
        <v>1602</v>
      </c>
      <c r="S203" s="4">
        <v>1</v>
      </c>
      <c r="T203" s="4">
        <v>1</v>
      </c>
      <c r="U203" s="5" t="s">
        <v>2589</v>
      </c>
      <c r="V203" s="5" t="s">
        <v>2589</v>
      </c>
      <c r="W203" s="5" t="s">
        <v>2721</v>
      </c>
      <c r="X203" s="5" t="s">
        <v>2721</v>
      </c>
      <c r="Y203" s="4">
        <v>320</v>
      </c>
      <c r="Z203" s="4">
        <v>293</v>
      </c>
      <c r="AA203" s="4">
        <v>295</v>
      </c>
      <c r="AB203" s="4">
        <v>3</v>
      </c>
      <c r="AC203" s="4">
        <v>3</v>
      </c>
      <c r="AD203" s="4">
        <v>13</v>
      </c>
      <c r="AE203" s="4">
        <v>13</v>
      </c>
      <c r="AF203" s="4">
        <v>1</v>
      </c>
      <c r="AG203" s="4">
        <v>1</v>
      </c>
      <c r="AH203" s="4">
        <v>1</v>
      </c>
      <c r="AI203" s="4">
        <v>1</v>
      </c>
      <c r="AJ203" s="4">
        <v>3</v>
      </c>
      <c r="AK203" s="4">
        <v>3</v>
      </c>
      <c r="AL203" s="4">
        <v>1</v>
      </c>
      <c r="AM203" s="4">
        <v>1</v>
      </c>
      <c r="AN203" s="4">
        <v>8</v>
      </c>
      <c r="AO203" s="4">
        <v>8</v>
      </c>
      <c r="AP203" s="3" t="s">
        <v>58</v>
      </c>
      <c r="AQ203" s="3" t="s">
        <v>80</v>
      </c>
      <c r="AR203" s="6" t="str">
        <f>HYPERLINK("http://catalog.hathitrust.org/Record/000138396","HathiTrust Record")</f>
        <v>HathiTrust Record</v>
      </c>
      <c r="AS203" s="6" t="str">
        <f>HYPERLINK("https://creighton-primo.hosted.exlibrisgroup.com/primo-explore/search?tab=default_tab&amp;search_scope=EVERYTHING&amp;vid=01CRU&amp;lang=en_US&amp;offset=0&amp;query=any,contains,991004894059702656","Catalog Record")</f>
        <v>Catalog Record</v>
      </c>
      <c r="AT203" s="6" t="str">
        <f>HYPERLINK("http://www.worldcat.org/oclc/5890170","WorldCat Record")</f>
        <v>WorldCat Record</v>
      </c>
      <c r="AU203" s="3" t="s">
        <v>2722</v>
      </c>
      <c r="AV203" s="3" t="s">
        <v>2723</v>
      </c>
      <c r="AW203" s="3" t="s">
        <v>2724</v>
      </c>
      <c r="AX203" s="3" t="s">
        <v>2724</v>
      </c>
      <c r="AY203" s="3" t="s">
        <v>2725</v>
      </c>
      <c r="AZ203" s="3" t="s">
        <v>74</v>
      </c>
      <c r="BB203" s="3" t="s">
        <v>2726</v>
      </c>
      <c r="BC203" s="3" t="s">
        <v>2727</v>
      </c>
      <c r="BD203" s="3" t="s">
        <v>2728</v>
      </c>
    </row>
    <row r="204" spans="1:56" ht="40.5" customHeight="1" x14ac:dyDescent="0.25">
      <c r="A204" s="7" t="s">
        <v>58</v>
      </c>
      <c r="B204" s="2" t="s">
        <v>2729</v>
      </c>
      <c r="C204" s="2" t="s">
        <v>2730</v>
      </c>
      <c r="D204" s="2" t="s">
        <v>2731</v>
      </c>
      <c r="F204" s="3" t="s">
        <v>58</v>
      </c>
      <c r="G204" s="3" t="s">
        <v>59</v>
      </c>
      <c r="H204" s="3" t="s">
        <v>58</v>
      </c>
      <c r="I204" s="3" t="s">
        <v>58</v>
      </c>
      <c r="J204" s="3" t="s">
        <v>60</v>
      </c>
      <c r="L204" s="2" t="s">
        <v>2732</v>
      </c>
      <c r="M204" s="3" t="s">
        <v>2156</v>
      </c>
      <c r="O204" s="3" t="s">
        <v>65</v>
      </c>
      <c r="P204" s="3" t="s">
        <v>169</v>
      </c>
      <c r="Q204" s="2" t="s">
        <v>2733</v>
      </c>
      <c r="R204" s="3" t="s">
        <v>1602</v>
      </c>
      <c r="S204" s="4">
        <v>1</v>
      </c>
      <c r="T204" s="4">
        <v>1</v>
      </c>
      <c r="U204" s="5" t="s">
        <v>2734</v>
      </c>
      <c r="V204" s="5" t="s">
        <v>2734</v>
      </c>
      <c r="W204" s="5" t="s">
        <v>2721</v>
      </c>
      <c r="X204" s="5" t="s">
        <v>2721</v>
      </c>
      <c r="Y204" s="4">
        <v>494</v>
      </c>
      <c r="Z204" s="4">
        <v>432</v>
      </c>
      <c r="AA204" s="4">
        <v>442</v>
      </c>
      <c r="AB204" s="4">
        <v>4</v>
      </c>
      <c r="AC204" s="4">
        <v>4</v>
      </c>
      <c r="AD204" s="4">
        <v>23</v>
      </c>
      <c r="AE204" s="4">
        <v>24</v>
      </c>
      <c r="AF204" s="4">
        <v>5</v>
      </c>
      <c r="AG204" s="4">
        <v>5</v>
      </c>
      <c r="AH204" s="4">
        <v>3</v>
      </c>
      <c r="AI204" s="4">
        <v>4</v>
      </c>
      <c r="AJ204" s="4">
        <v>11</v>
      </c>
      <c r="AK204" s="4">
        <v>12</v>
      </c>
      <c r="AL204" s="4">
        <v>2</v>
      </c>
      <c r="AM204" s="4">
        <v>2</v>
      </c>
      <c r="AN204" s="4">
        <v>7</v>
      </c>
      <c r="AO204" s="4">
        <v>7</v>
      </c>
      <c r="AP204" s="3" t="s">
        <v>58</v>
      </c>
      <c r="AQ204" s="3" t="s">
        <v>80</v>
      </c>
      <c r="AR204" s="6" t="str">
        <f>HYPERLINK("http://catalog.hathitrust.org/Record/000233595","HathiTrust Record")</f>
        <v>HathiTrust Record</v>
      </c>
      <c r="AS204" s="6" t="str">
        <f>HYPERLINK("https://creighton-primo.hosted.exlibrisgroup.com/primo-explore/search?tab=default_tab&amp;search_scope=EVERYTHING&amp;vid=01CRU&amp;lang=en_US&amp;offset=0&amp;query=any,contains,991005252729702656","Catalog Record")</f>
        <v>Catalog Record</v>
      </c>
      <c r="AT204" s="6" t="str">
        <f>HYPERLINK("http://www.worldcat.org/oclc/8497474","WorldCat Record")</f>
        <v>WorldCat Record</v>
      </c>
      <c r="AU204" s="3" t="s">
        <v>2735</v>
      </c>
      <c r="AV204" s="3" t="s">
        <v>2736</v>
      </c>
      <c r="AW204" s="3" t="s">
        <v>2737</v>
      </c>
      <c r="AX204" s="3" t="s">
        <v>2737</v>
      </c>
      <c r="AY204" s="3" t="s">
        <v>2738</v>
      </c>
      <c r="AZ204" s="3" t="s">
        <v>74</v>
      </c>
      <c r="BC204" s="3" t="s">
        <v>2739</v>
      </c>
      <c r="BD204" s="3" t="s">
        <v>2740</v>
      </c>
    </row>
    <row r="205" spans="1:56" ht="40.5" customHeight="1" x14ac:dyDescent="0.25">
      <c r="A205" s="7" t="s">
        <v>58</v>
      </c>
      <c r="B205" s="2" t="s">
        <v>2741</v>
      </c>
      <c r="C205" s="2" t="s">
        <v>2742</v>
      </c>
      <c r="D205" s="2" t="s">
        <v>2743</v>
      </c>
      <c r="F205" s="3" t="s">
        <v>58</v>
      </c>
      <c r="G205" s="3" t="s">
        <v>59</v>
      </c>
      <c r="H205" s="3" t="s">
        <v>58</v>
      </c>
      <c r="I205" s="3" t="s">
        <v>58</v>
      </c>
      <c r="J205" s="3" t="s">
        <v>60</v>
      </c>
      <c r="K205" s="2" t="s">
        <v>2744</v>
      </c>
      <c r="L205" s="2" t="s">
        <v>2745</v>
      </c>
      <c r="M205" s="3" t="s">
        <v>839</v>
      </c>
      <c r="O205" s="3" t="s">
        <v>65</v>
      </c>
      <c r="P205" s="3" t="s">
        <v>66</v>
      </c>
      <c r="Q205" s="2" t="s">
        <v>2746</v>
      </c>
      <c r="R205" s="3" t="s">
        <v>1602</v>
      </c>
      <c r="S205" s="4">
        <v>1</v>
      </c>
      <c r="T205" s="4">
        <v>1</v>
      </c>
      <c r="U205" s="5" t="s">
        <v>2747</v>
      </c>
      <c r="V205" s="5" t="s">
        <v>2747</v>
      </c>
      <c r="W205" s="5" t="s">
        <v>2658</v>
      </c>
      <c r="X205" s="5" t="s">
        <v>2658</v>
      </c>
      <c r="Y205" s="4">
        <v>370</v>
      </c>
      <c r="Z205" s="4">
        <v>323</v>
      </c>
      <c r="AA205" s="4">
        <v>351</v>
      </c>
      <c r="AB205" s="4">
        <v>2</v>
      </c>
      <c r="AC205" s="4">
        <v>2</v>
      </c>
      <c r="AD205" s="4">
        <v>16</v>
      </c>
      <c r="AE205" s="4">
        <v>17</v>
      </c>
      <c r="AF205" s="4">
        <v>8</v>
      </c>
      <c r="AG205" s="4">
        <v>9</v>
      </c>
      <c r="AH205" s="4">
        <v>2</v>
      </c>
      <c r="AI205" s="4">
        <v>2</v>
      </c>
      <c r="AJ205" s="4">
        <v>7</v>
      </c>
      <c r="AK205" s="4">
        <v>8</v>
      </c>
      <c r="AL205" s="4">
        <v>1</v>
      </c>
      <c r="AM205" s="4">
        <v>1</v>
      </c>
      <c r="AN205" s="4">
        <v>1</v>
      </c>
      <c r="AO205" s="4">
        <v>1</v>
      </c>
      <c r="AP205" s="3" t="s">
        <v>58</v>
      </c>
      <c r="AQ205" s="3" t="s">
        <v>58</v>
      </c>
      <c r="AS205" s="6" t="str">
        <f>HYPERLINK("https://creighton-primo.hosted.exlibrisgroup.com/primo-explore/search?tab=default_tab&amp;search_scope=EVERYTHING&amp;vid=01CRU&amp;lang=en_US&amp;offset=0&amp;query=any,contains,991001957779702656","Catalog Record")</f>
        <v>Catalog Record</v>
      </c>
      <c r="AT205" s="6" t="str">
        <f>HYPERLINK("http://www.worldcat.org/oclc/253213","WorldCat Record")</f>
        <v>WorldCat Record</v>
      </c>
      <c r="AU205" s="3" t="s">
        <v>2748</v>
      </c>
      <c r="AV205" s="3" t="s">
        <v>2749</v>
      </c>
      <c r="AW205" s="3" t="s">
        <v>2750</v>
      </c>
      <c r="AX205" s="3" t="s">
        <v>2750</v>
      </c>
      <c r="AY205" s="3" t="s">
        <v>2751</v>
      </c>
      <c r="AZ205" s="3" t="s">
        <v>74</v>
      </c>
      <c r="BC205" s="3" t="s">
        <v>2752</v>
      </c>
      <c r="BD205" s="3" t="s">
        <v>2753</v>
      </c>
    </row>
  </sheetData>
  <sheetProtection sheet="1" objects="1" scenarios="1"/>
  <protectedRanges>
    <protectedRange sqref="A2:A205" name="Range1"/>
    <protectedRange sqref="A1" name="Range1_1"/>
  </protectedRanges>
  <dataValidations count="1">
    <dataValidation type="list" allowBlank="1" showInputMessage="1" showErrorMessage="1" sqref="A2:A205" xr:uid="{DE6ECEEE-6E58-4FDD-BCF5-7768180C30E2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33D8058F-65C6-4D7C-9755-687CDCC55160}"/>
</file>

<file path=customXml/itemProps2.xml><?xml version="1.0" encoding="utf-8"?>
<ds:datastoreItem xmlns:ds="http://schemas.openxmlformats.org/officeDocument/2006/customXml" ds:itemID="{E3D1014E-CE00-4CD1-9B17-E85E798DF293}"/>
</file>

<file path=customXml/itemProps3.xml><?xml version="1.0" encoding="utf-8"?>
<ds:datastoreItem xmlns:ds="http://schemas.openxmlformats.org/officeDocument/2006/customXml" ds:itemID="{4B926EAF-D00A-460F-8E31-92B58A6ED5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Elizabeth Kiscaden</dc:creator>
  <cp:lastModifiedBy>Elizabeth Kiscaden</cp:lastModifiedBy>
  <dcterms:created xsi:type="dcterms:W3CDTF">2022-03-04T01:09:59Z</dcterms:created>
  <dcterms:modified xsi:type="dcterms:W3CDTF">2022-03-04T01:11:32Z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285000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